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11820" tabRatio="882"/>
  </bookViews>
  <sheets>
    <sheet name="Tracked Report" sheetId="1" r:id="rId1"/>
    <sheet name="Print Sheet" sheetId="2" r:id="rId2"/>
    <sheet name="Hull Design" sheetId="3" r:id="rId3"/>
    <sheet name="Turret Design" sheetId="7" r:id="rId4"/>
    <sheet name="Small Guns" sheetId="8" r:id="rId5"/>
    <sheet name="Big Gun" sheetId="9" r:id="rId6"/>
    <sheet name="Misc" sheetId="10" r:id="rId7"/>
    <sheet name="Engine" sheetId="12" r:id="rId8"/>
    <sheet name="Drivetrain" sheetId="6" r:id="rId9"/>
    <sheet name="Lookup" sheetId="4" r:id="rId10"/>
    <sheet name="Armor Trend" sheetId="5" state="hidden" r:id="rId11"/>
  </sheets>
  <definedNames>
    <definedName name="ArmorDensity">Lookup!$B$134:$B$172</definedName>
    <definedName name="ArmorHEAT">Lookup!$D$134:$D$172</definedName>
    <definedName name="ArmorKE">Lookup!$C$134:$C$172</definedName>
    <definedName name="ArmorModifier">Lookup!$E$134:$E$172</definedName>
    <definedName name="ArmorNames">Lookup!$A$134:$A$172</definedName>
    <definedName name="AutoAccel">Lookup!$C$227:$C$239</definedName>
    <definedName name="AutoloaderCapacity">Lookup!$E$331:$E$332</definedName>
    <definedName name="AutoloaderFire">Lookup!$B$331:$B$332</definedName>
    <definedName name="AutoloaderName">Lookup!$A$331:$A$332</definedName>
    <definedName name="AutoloaderVolume">Lookup!$C$331:$C$332</definedName>
    <definedName name="AutoloaderWeight">Lookup!$D$331:$D$332</definedName>
    <definedName name="BatteryModifier">Lookup!$B$314:$B$315</definedName>
    <definedName name="BatteryName">Lookup!$A$314:$A$315</definedName>
    <definedName name="BatteryRecoil">Lookup!$C$314:$C$315</definedName>
    <definedName name="BreechAuto">Lookup!$C$83:$C$96</definedName>
    <definedName name="BreechCaliber">Lookup!$A$83:$A$96</definedName>
    <definedName name="BreechSingle">Lookup!$B$83:$B$96</definedName>
    <definedName name="BreechVolumeAuto">Lookup!$F$83:$F$96</definedName>
    <definedName name="BreechVolumeSingle">Lookup!$E$83:$E$96</definedName>
    <definedName name="CartridgeLength">Lookup!$C$250:$C$252</definedName>
    <definedName name="CartridgeMaterialDensity">Lookup!$B$102:$B$105</definedName>
    <definedName name="CartridgeMaterialName">Lookup!$A$102:$A$105</definedName>
    <definedName name="CartridgeName">Lookup!$A$250:$A$252</definedName>
    <definedName name="CartridgeWidth">Lookup!$B$250:$B$252</definedName>
    <definedName name="ChamberModifier">Lookup!$B$318:$B$319</definedName>
    <definedName name="ChamberName">Lookup!$A$318:$A$319</definedName>
    <definedName name="ChamberVelocity">Lookup!$C$318:$C$319</definedName>
    <definedName name="EnergyBankName">Lookup!$A$207:$A$213</definedName>
    <definedName name="EnergyBankVolume">Lookup!$C$207:$C$213</definedName>
    <definedName name="EnergyBankWeight">Lookup!$B$207:$B$213</definedName>
    <definedName name="EngineCylinderNumber">Lookup!$E$175:$E$202</definedName>
    <definedName name="EngineFuel">Lookup!$D$175:$D$202</definedName>
    <definedName name="EngineGrossOutput">Lookup!$F$175:$F$202</definedName>
    <definedName name="EngineName">Lookup!$A$175:$A$202</definedName>
    <definedName name="EngineVolume">Lookup!$C$175:$C$202</definedName>
    <definedName name="EngineWeight">Lookup!$B$175:$B$202</definedName>
    <definedName name="FuelMass">Lookup!$C$216:$C$224</definedName>
    <definedName name="FuelName">Lookup!$A$216:$A$224</definedName>
    <definedName name="FuelVolume">Lookup!$B$216:$B$224</definedName>
    <definedName name="GroundClearance">'Hull Design'!$C$5</definedName>
    <definedName name="HEATPenetration">Lookup!$A$2:$A$21</definedName>
    <definedName name="HEATPenetrationName">Lookup!$B$2:$B$21</definedName>
    <definedName name="HullHeight">'Hull Design'!$C$4</definedName>
    <definedName name="HullLength">'Hull Design'!$C$2</definedName>
    <definedName name="HullWidth">'Hull Design'!$C$3</definedName>
    <definedName name="KEPenetration">Lookup!$A$24:$A$80</definedName>
    <definedName name="KEPenetrationName">Lookup!$B$24:$B$80</definedName>
    <definedName name="PropellantEnergyDensity">Lookup!$E$227:$E$239</definedName>
    <definedName name="PropellantEnergyVolume">Lookup!$F$227:$F$239</definedName>
    <definedName name="PropellantName">Lookup!$A$227:$A$239</definedName>
    <definedName name="PropellantSpeed">Lookup!$B$227:$B$239</definedName>
    <definedName name="RoadWheelDensity">Lookup!$B$283:$B$285</definedName>
    <definedName name="RoadWheelMaterials">Lookup!$A$283:$A$285</definedName>
    <definedName name="SuperalloyName">Lookup!$A$306:$A$311</definedName>
    <definedName name="SuperalloyRatio">Lookup!$B$306:$B$311</definedName>
    <definedName name="SuspensionCapacity">Lookup!$C$268:$C$274</definedName>
    <definedName name="SuspensionNames">Lookup!$A$268:$A$276</definedName>
    <definedName name="SuspensionWeight">Lookup!$B$268:$B$276</definedName>
    <definedName name="TrackModifier">Lookup!$C$255:$C$265</definedName>
    <definedName name="TrackName">Lookup!$A$255:$A$265</definedName>
    <definedName name="TrackNumber">Drivetrain!$B$23</definedName>
    <definedName name="TrackTypeName">Lookup!$A$322:$A$323</definedName>
    <definedName name="TrackWeight">Lookup!$B$255:$B$265</definedName>
    <definedName name="TrackWeightModifier">Lookup!$B$322:$B$323</definedName>
    <definedName name="TrackWidth">Drivetrain!$B$24</definedName>
    <definedName name="TransmissionLimit">Lookup!$C$108:$C$131</definedName>
    <definedName name="TransmissionMass">Lookup!$B$108:$B$131</definedName>
    <definedName name="TransmissionName">Lookup!$A$108:$A$131</definedName>
    <definedName name="TransmissionWeight">Lookup!$D$108:$D$131</definedName>
    <definedName name="TurretBasketModifier">Lookup!$D$300:$D$303</definedName>
    <definedName name="TurretHeight">'Turret Design'!$C$7</definedName>
    <definedName name="TurretSpace">Lookup!$C$300:$C$303</definedName>
    <definedName name="TurretType">Lookup!$A$300:$A$303</definedName>
    <definedName name="TurretWeight">Lookup!$B$300:$B$303</definedName>
  </definedNames>
  <calcPr calcId="125725"/>
</workbook>
</file>

<file path=xl/calcChain.xml><?xml version="1.0" encoding="utf-8"?>
<calcChain xmlns="http://schemas.openxmlformats.org/spreadsheetml/2006/main">
  <c r="K59" i="3"/>
  <c r="K60" s="1"/>
  <c r="K34"/>
  <c r="K33"/>
  <c r="K58"/>
  <c r="K57"/>
  <c r="K31"/>
  <c r="K56"/>
  <c r="I24" i="7"/>
  <c r="B28" i="6" l="1"/>
  <c r="B27"/>
  <c r="B29" s="1"/>
  <c r="C287" i="3"/>
  <c r="C92" i="7"/>
  <c r="C67"/>
  <c r="C66"/>
  <c r="D106"/>
  <c r="D81"/>
  <c r="D52"/>
  <c r="F20" i="9"/>
  <c r="B13" i="6" l="1"/>
  <c r="B28" i="12"/>
  <c r="B22"/>
  <c r="I21" i="7"/>
  <c r="G6" i="3"/>
  <c r="N23" i="1" l="1"/>
  <c r="N19"/>
  <c r="F17" i="9" l="1"/>
  <c r="F11" l="1"/>
  <c r="B63"/>
  <c r="F131"/>
  <c r="C126"/>
  <c r="B126"/>
  <c r="D125"/>
  <c r="D82"/>
  <c r="E111"/>
  <c r="B112" s="1"/>
  <c r="D89"/>
  <c r="D17"/>
  <c r="B111" l="1"/>
  <c r="B52"/>
  <c r="E65" i="2" s="1"/>
  <c r="C52" i="9"/>
  <c r="E37" s="1"/>
  <c r="C78" i="1"/>
  <c r="C77"/>
  <c r="F57" i="9"/>
  <c r="B57"/>
  <c r="D51"/>
  <c r="D9"/>
  <c r="B38" l="1"/>
  <c r="B37"/>
  <c r="F65" i="2"/>
  <c r="C11" i="12"/>
  <c r="T64" i="7"/>
  <c r="T59"/>
  <c r="O58"/>
  <c r="R63"/>
  <c r="O34"/>
  <c r="O89"/>
  <c r="O112"/>
  <c r="B30" i="6" l="1"/>
  <c r="D19" i="9"/>
  <c r="C31" i="7"/>
  <c r="I22" l="1"/>
  <c r="I23" s="1"/>
  <c r="I26" l="1"/>
  <c r="D30" s="1"/>
  <c r="C26"/>
  <c r="C27" s="1"/>
  <c r="D31" l="1"/>
  <c r="H53" i="1" s="1"/>
  <c r="E27" i="7"/>
  <c r="I25"/>
  <c r="D53" i="1"/>
  <c r="G30" i="7"/>
  <c r="I30" s="1"/>
  <c r="K30" s="1"/>
  <c r="F30"/>
  <c r="H30" s="1"/>
  <c r="J30" s="1"/>
  <c r="E30"/>
  <c r="L30" s="1"/>
  <c r="N15" i="1"/>
  <c r="N8"/>
  <c r="C8"/>
  <c r="D8" s="1"/>
  <c r="N33"/>
  <c r="C35"/>
  <c r="B33" i="2"/>
  <c r="B32"/>
  <c r="C18" i="1"/>
  <c r="C11"/>
  <c r="C88" i="2" l="1"/>
  <c r="G88" s="1"/>
  <c r="C77"/>
  <c r="G77" s="1"/>
  <c r="L31" i="7"/>
  <c r="C19" i="1"/>
  <c r="C22"/>
  <c r="F66" i="2"/>
  <c r="E66"/>
  <c r="D66"/>
  <c r="C66"/>
  <c r="D65"/>
  <c r="C65"/>
  <c r="B66"/>
  <c r="B65"/>
  <c r="C62"/>
  <c r="C60"/>
  <c r="B62"/>
  <c r="B60"/>
  <c r="C57"/>
  <c r="B57"/>
  <c r="B22"/>
  <c r="B6"/>
  <c r="C15" i="1" s="1"/>
  <c r="C50" i="12"/>
  <c r="E44"/>
  <c r="G44" s="1"/>
  <c r="C46" s="1"/>
  <c r="E43"/>
  <c r="G43" s="1"/>
  <c r="E42"/>
  <c r="G42" s="1"/>
  <c r="C36"/>
  <c r="C32"/>
  <c r="C37"/>
  <c r="C35"/>
  <c r="E26"/>
  <c r="E27"/>
  <c r="E25"/>
  <c r="D27"/>
  <c r="D26"/>
  <c r="D25"/>
  <c r="D21"/>
  <c r="E21" s="1"/>
  <c r="D20"/>
  <c r="E20" s="1"/>
  <c r="D19"/>
  <c r="G14"/>
  <c r="F14"/>
  <c r="E14"/>
  <c r="C16" s="1"/>
  <c r="D14"/>
  <c r="C15" s="1"/>
  <c r="B20" i="2" s="1"/>
  <c r="G8" i="12"/>
  <c r="B31" i="2" s="1"/>
  <c r="F8" i="12"/>
  <c r="E8"/>
  <c r="C10" s="1"/>
  <c r="C286" i="3" s="1"/>
  <c r="D8" i="12"/>
  <c r="C5"/>
  <c r="F42" l="1"/>
  <c r="D22"/>
  <c r="B19" i="2" s="1"/>
  <c r="C9" i="12"/>
  <c r="C33"/>
  <c r="F43"/>
  <c r="B77" i="2"/>
  <c r="D77" s="1"/>
  <c r="D60"/>
  <c r="D62"/>
  <c r="D28" i="12"/>
  <c r="B21" i="2" s="1"/>
  <c r="E19" i="12"/>
  <c r="E22" s="1"/>
  <c r="C285" i="3" s="1"/>
  <c r="E28" i="12"/>
  <c r="E59" i="7"/>
  <c r="E58"/>
  <c r="B30" i="10"/>
  <c r="B9" i="2"/>
  <c r="B8"/>
  <c r="B27" i="10" s="1"/>
  <c r="B20"/>
  <c r="B19"/>
  <c r="B23" s="1"/>
  <c r="B84" i="9"/>
  <c r="B137"/>
  <c r="B136"/>
  <c r="D136" s="1"/>
  <c r="D134"/>
  <c r="B131"/>
  <c r="D124"/>
  <c r="D126" s="1"/>
  <c r="B98"/>
  <c r="D92"/>
  <c r="D91"/>
  <c r="F90"/>
  <c r="D90"/>
  <c r="F84"/>
  <c r="D83"/>
  <c r="C98" s="1"/>
  <c r="E98" s="1"/>
  <c r="D80"/>
  <c r="D78"/>
  <c r="D77"/>
  <c r="D60"/>
  <c r="B62"/>
  <c r="D62" s="1"/>
  <c r="D50"/>
  <c r="D52" s="1"/>
  <c r="B24"/>
  <c r="D20"/>
  <c r="F18"/>
  <c r="D47" s="1"/>
  <c r="D18"/>
  <c r="D7"/>
  <c r="D3"/>
  <c r="C17" i="8"/>
  <c r="B17"/>
  <c r="C16"/>
  <c r="B16"/>
  <c r="B8"/>
  <c r="C8"/>
  <c r="C7"/>
  <c r="B7"/>
  <c r="B18"/>
  <c r="B61" i="2" s="1"/>
  <c r="C18" i="8"/>
  <c r="C61" i="2" s="1"/>
  <c r="C6" i="8"/>
  <c r="C56" i="2" s="1"/>
  <c r="B6" i="8"/>
  <c r="B56" i="2" s="1"/>
  <c r="D147" i="7"/>
  <c r="D146"/>
  <c r="D145"/>
  <c r="D144"/>
  <c r="D143"/>
  <c r="D142"/>
  <c r="D139"/>
  <c r="D141"/>
  <c r="D140"/>
  <c r="G113"/>
  <c r="G112"/>
  <c r="D133" s="1"/>
  <c r="O117"/>
  <c r="O113"/>
  <c r="R117" s="1"/>
  <c r="E66"/>
  <c r="N147"/>
  <c r="E112"/>
  <c r="N133" s="1"/>
  <c r="E113"/>
  <c r="N146" s="1"/>
  <c r="E35"/>
  <c r="E62"/>
  <c r="D75" s="1"/>
  <c r="E89"/>
  <c r="I98" s="1"/>
  <c r="I147"/>
  <c r="H147"/>
  <c r="G147"/>
  <c r="Q147" s="1"/>
  <c r="F147"/>
  <c r="E147"/>
  <c r="I146"/>
  <c r="H146"/>
  <c r="G146"/>
  <c r="F146"/>
  <c r="E146"/>
  <c r="I145"/>
  <c r="H145"/>
  <c r="G145"/>
  <c r="F145"/>
  <c r="E145"/>
  <c r="I144"/>
  <c r="H144"/>
  <c r="G144"/>
  <c r="F144"/>
  <c r="J144" s="1"/>
  <c r="E144"/>
  <c r="I143"/>
  <c r="H143"/>
  <c r="G143"/>
  <c r="F143"/>
  <c r="E143"/>
  <c r="G142"/>
  <c r="F142"/>
  <c r="E142"/>
  <c r="G141"/>
  <c r="F141"/>
  <c r="E141"/>
  <c r="G140"/>
  <c r="F140"/>
  <c r="E140"/>
  <c r="I139"/>
  <c r="H139"/>
  <c r="G139"/>
  <c r="K139" s="1"/>
  <c r="F139"/>
  <c r="E139"/>
  <c r="I133"/>
  <c r="H133"/>
  <c r="G133"/>
  <c r="F133"/>
  <c r="E133"/>
  <c r="I132"/>
  <c r="G132"/>
  <c r="F132"/>
  <c r="E132"/>
  <c r="G131"/>
  <c r="F131"/>
  <c r="E131"/>
  <c r="I130"/>
  <c r="G130"/>
  <c r="F130"/>
  <c r="E130"/>
  <c r="I129"/>
  <c r="H129"/>
  <c r="G129"/>
  <c r="F129"/>
  <c r="E129"/>
  <c r="G128"/>
  <c r="F128"/>
  <c r="E128"/>
  <c r="G127"/>
  <c r="F127"/>
  <c r="E127"/>
  <c r="G126"/>
  <c r="F126"/>
  <c r="E126"/>
  <c r="I125"/>
  <c r="H125"/>
  <c r="G125"/>
  <c r="F125"/>
  <c r="E125"/>
  <c r="O92"/>
  <c r="O96" s="1"/>
  <c r="O90" s="1"/>
  <c r="R90" s="1"/>
  <c r="T90"/>
  <c r="E92"/>
  <c r="G92" s="1"/>
  <c r="I105"/>
  <c r="H105"/>
  <c r="G105"/>
  <c r="F105"/>
  <c r="E105"/>
  <c r="I104"/>
  <c r="H104"/>
  <c r="G104"/>
  <c r="F104"/>
  <c r="E104"/>
  <c r="I103"/>
  <c r="H103"/>
  <c r="G103"/>
  <c r="F103"/>
  <c r="E103"/>
  <c r="I102"/>
  <c r="H102"/>
  <c r="G102"/>
  <c r="F102"/>
  <c r="E102"/>
  <c r="I101"/>
  <c r="H101"/>
  <c r="G101"/>
  <c r="F101"/>
  <c r="E101"/>
  <c r="G100"/>
  <c r="F100"/>
  <c r="E100"/>
  <c r="G99"/>
  <c r="F99"/>
  <c r="E99"/>
  <c r="G98"/>
  <c r="F98"/>
  <c r="E98"/>
  <c r="I97"/>
  <c r="H97"/>
  <c r="G97"/>
  <c r="F97"/>
  <c r="E97"/>
  <c r="O61"/>
  <c r="O65" s="1"/>
  <c r="O37"/>
  <c r="O39" s="1"/>
  <c r="I80"/>
  <c r="H80"/>
  <c r="G80"/>
  <c r="F80"/>
  <c r="E80"/>
  <c r="I79"/>
  <c r="H79"/>
  <c r="G79"/>
  <c r="F79"/>
  <c r="E79"/>
  <c r="I78"/>
  <c r="H78"/>
  <c r="G78"/>
  <c r="F78"/>
  <c r="E78"/>
  <c r="I77"/>
  <c r="H77"/>
  <c r="G77"/>
  <c r="F77"/>
  <c r="E77"/>
  <c r="I76"/>
  <c r="H76"/>
  <c r="G76"/>
  <c r="F76"/>
  <c r="E76"/>
  <c r="G75"/>
  <c r="F75"/>
  <c r="E75"/>
  <c r="G74"/>
  <c r="F74"/>
  <c r="E74"/>
  <c r="G73"/>
  <c r="F73"/>
  <c r="E73"/>
  <c r="I72"/>
  <c r="H72"/>
  <c r="G72"/>
  <c r="F72"/>
  <c r="E72"/>
  <c r="C38"/>
  <c r="E38" s="1"/>
  <c r="G38" s="1"/>
  <c r="T35"/>
  <c r="C161"/>
  <c r="C167" s="1"/>
  <c r="C160"/>
  <c r="C2"/>
  <c r="C165" s="1"/>
  <c r="C288" i="3" s="1"/>
  <c r="F4" i="7"/>
  <c r="I51"/>
  <c r="H51"/>
  <c r="G51"/>
  <c r="F51"/>
  <c r="E51"/>
  <c r="I50"/>
  <c r="H50"/>
  <c r="G50"/>
  <c r="F50"/>
  <c r="E50"/>
  <c r="I49"/>
  <c r="H49"/>
  <c r="G49"/>
  <c r="F49"/>
  <c r="E49"/>
  <c r="I48"/>
  <c r="H48"/>
  <c r="G48"/>
  <c r="F48"/>
  <c r="E48"/>
  <c r="I47"/>
  <c r="H47"/>
  <c r="G47"/>
  <c r="F47"/>
  <c r="E47"/>
  <c r="G46"/>
  <c r="F46"/>
  <c r="E46"/>
  <c r="G45"/>
  <c r="F45"/>
  <c r="E45"/>
  <c r="G44"/>
  <c r="F44"/>
  <c r="E44"/>
  <c r="I43"/>
  <c r="H43"/>
  <c r="G43"/>
  <c r="F43"/>
  <c r="E43"/>
  <c r="D11" i="9" l="1"/>
  <c r="D64" s="1"/>
  <c r="B64" s="1"/>
  <c r="B4"/>
  <c r="D4" s="1"/>
  <c r="B5"/>
  <c r="D5" s="1"/>
  <c r="F19" i="7"/>
  <c r="E17"/>
  <c r="F17" s="1"/>
  <c r="J146"/>
  <c r="O59"/>
  <c r="R64"/>
  <c r="F62" i="9"/>
  <c r="B22" i="10"/>
  <c r="N18" i="1"/>
  <c r="B18" i="2"/>
  <c r="D61"/>
  <c r="B88"/>
  <c r="D88" s="1"/>
  <c r="D51" i="7"/>
  <c r="K51" s="1"/>
  <c r="K143"/>
  <c r="K145"/>
  <c r="K147"/>
  <c r="J143"/>
  <c r="J145"/>
  <c r="J147"/>
  <c r="R116"/>
  <c r="K144"/>
  <c r="K146"/>
  <c r="J139"/>
  <c r="R115"/>
  <c r="B24" i="10"/>
  <c r="B26" i="9"/>
  <c r="D98"/>
  <c r="F98" s="1"/>
  <c r="F83"/>
  <c r="D93"/>
  <c r="D121"/>
  <c r="B100"/>
  <c r="F136"/>
  <c r="D126" i="7"/>
  <c r="D128"/>
  <c r="D130"/>
  <c r="D132"/>
  <c r="D125"/>
  <c r="D127"/>
  <c r="D129"/>
  <c r="D131"/>
  <c r="J133"/>
  <c r="K133"/>
  <c r="N125"/>
  <c r="O125" s="1"/>
  <c r="N126"/>
  <c r="O116"/>
  <c r="O115"/>
  <c r="D105"/>
  <c r="K105" s="1"/>
  <c r="O146"/>
  <c r="N139"/>
  <c r="N141"/>
  <c r="N143"/>
  <c r="Q143" s="1"/>
  <c r="N145"/>
  <c r="Q145" s="1"/>
  <c r="N140"/>
  <c r="N142"/>
  <c r="N144"/>
  <c r="O144" s="1"/>
  <c r="Q133"/>
  <c r="O133"/>
  <c r="N128"/>
  <c r="N130"/>
  <c r="N132"/>
  <c r="N127"/>
  <c r="N129"/>
  <c r="N131"/>
  <c r="H126"/>
  <c r="O126" s="1"/>
  <c r="H127"/>
  <c r="I128"/>
  <c r="Q128" s="1"/>
  <c r="H130"/>
  <c r="H132"/>
  <c r="C148"/>
  <c r="O147"/>
  <c r="Q146"/>
  <c r="I140"/>
  <c r="K140" s="1"/>
  <c r="I141"/>
  <c r="K141" s="1"/>
  <c r="I142"/>
  <c r="K142" s="1"/>
  <c r="H140"/>
  <c r="J140" s="1"/>
  <c r="H141"/>
  <c r="J141" s="1"/>
  <c r="H142"/>
  <c r="J142" s="1"/>
  <c r="H128"/>
  <c r="O95"/>
  <c r="O94"/>
  <c r="H100"/>
  <c r="D97"/>
  <c r="H99"/>
  <c r="D72"/>
  <c r="D77"/>
  <c r="R77" s="1"/>
  <c r="D79"/>
  <c r="Q79" s="1"/>
  <c r="D76"/>
  <c r="N76" s="1"/>
  <c r="D78"/>
  <c r="O78" s="1"/>
  <c r="D80"/>
  <c r="R80" s="1"/>
  <c r="D98"/>
  <c r="K98" s="1"/>
  <c r="D101"/>
  <c r="K101" s="1"/>
  <c r="D102"/>
  <c r="K102" s="1"/>
  <c r="D103"/>
  <c r="K103" s="1"/>
  <c r="D104"/>
  <c r="K104" s="1"/>
  <c r="H98"/>
  <c r="J105"/>
  <c r="E67"/>
  <c r="G67" s="1"/>
  <c r="O41"/>
  <c r="O35" s="1"/>
  <c r="O36" s="1"/>
  <c r="O40"/>
  <c r="D73"/>
  <c r="D74"/>
  <c r="O64"/>
  <c r="O63"/>
  <c r="D45"/>
  <c r="I46"/>
  <c r="J51"/>
  <c r="D44"/>
  <c r="I73"/>
  <c r="I75"/>
  <c r="O75" s="1"/>
  <c r="H73"/>
  <c r="H75"/>
  <c r="N75" s="1"/>
  <c r="D48"/>
  <c r="D50"/>
  <c r="D43"/>
  <c r="D47"/>
  <c r="D49"/>
  <c r="C277" i="3"/>
  <c r="C284" s="1"/>
  <c r="C275"/>
  <c r="B13" i="2" s="1"/>
  <c r="C274" i="3"/>
  <c r="C259"/>
  <c r="I258"/>
  <c r="H258"/>
  <c r="G258"/>
  <c r="F258"/>
  <c r="J258" s="1"/>
  <c r="E258"/>
  <c r="I257"/>
  <c r="H257"/>
  <c r="G257"/>
  <c r="K257" s="1"/>
  <c r="F257"/>
  <c r="J257" s="1"/>
  <c r="E257"/>
  <c r="I256"/>
  <c r="H256"/>
  <c r="G256"/>
  <c r="F256"/>
  <c r="J256" s="1"/>
  <c r="E256"/>
  <c r="I255"/>
  <c r="H255"/>
  <c r="G255"/>
  <c r="F255"/>
  <c r="J255" s="1"/>
  <c r="E255"/>
  <c r="I254"/>
  <c r="H254"/>
  <c r="G254"/>
  <c r="K254" s="1"/>
  <c r="F254"/>
  <c r="J254" s="1"/>
  <c r="E254"/>
  <c r="I253"/>
  <c r="H253"/>
  <c r="G253"/>
  <c r="F253"/>
  <c r="E253"/>
  <c r="I252"/>
  <c r="H252"/>
  <c r="G252"/>
  <c r="K252" s="1"/>
  <c r="F252"/>
  <c r="E252"/>
  <c r="I251"/>
  <c r="H251"/>
  <c r="G251"/>
  <c r="K251" s="1"/>
  <c r="F251"/>
  <c r="J251" s="1"/>
  <c r="E251"/>
  <c r="I250"/>
  <c r="H250"/>
  <c r="G250"/>
  <c r="F250"/>
  <c r="J250" s="1"/>
  <c r="E250"/>
  <c r="I228"/>
  <c r="I229"/>
  <c r="I230"/>
  <c r="I231"/>
  <c r="I232"/>
  <c r="I233"/>
  <c r="I234"/>
  <c r="I235"/>
  <c r="I227"/>
  <c r="H230"/>
  <c r="H231"/>
  <c r="H232"/>
  <c r="H233"/>
  <c r="H234"/>
  <c r="H235"/>
  <c r="H227"/>
  <c r="H228"/>
  <c r="H229"/>
  <c r="G235"/>
  <c r="F235"/>
  <c r="E235"/>
  <c r="G234"/>
  <c r="F234"/>
  <c r="E234"/>
  <c r="G233"/>
  <c r="F233"/>
  <c r="E233"/>
  <c r="G232"/>
  <c r="F232"/>
  <c r="E232"/>
  <c r="G231"/>
  <c r="F231"/>
  <c r="E231"/>
  <c r="G230"/>
  <c r="F230"/>
  <c r="E230"/>
  <c r="G229"/>
  <c r="F229"/>
  <c r="E229"/>
  <c r="G228"/>
  <c r="F228"/>
  <c r="E228"/>
  <c r="C236"/>
  <c r="G227"/>
  <c r="F227"/>
  <c r="E227"/>
  <c r="P184"/>
  <c r="P187" s="1"/>
  <c r="C163"/>
  <c r="C185"/>
  <c r="E185" s="1"/>
  <c r="G185" s="1"/>
  <c r="E163"/>
  <c r="G163" s="1"/>
  <c r="E183"/>
  <c r="G199"/>
  <c r="F199"/>
  <c r="E199"/>
  <c r="D199"/>
  <c r="G198"/>
  <c r="F198"/>
  <c r="E198"/>
  <c r="D198"/>
  <c r="G197"/>
  <c r="F197"/>
  <c r="E197"/>
  <c r="D197"/>
  <c r="G196"/>
  <c r="F196"/>
  <c r="E196"/>
  <c r="D196"/>
  <c r="G195"/>
  <c r="F195"/>
  <c r="E195"/>
  <c r="D195"/>
  <c r="G194"/>
  <c r="F194"/>
  <c r="E194"/>
  <c r="D194"/>
  <c r="G193"/>
  <c r="F193"/>
  <c r="E193"/>
  <c r="D193"/>
  <c r="G192"/>
  <c r="F192"/>
  <c r="E192"/>
  <c r="G191"/>
  <c r="F191"/>
  <c r="E191"/>
  <c r="P161"/>
  <c r="P164" s="1"/>
  <c r="E160"/>
  <c r="D168" s="1"/>
  <c r="G176"/>
  <c r="F176"/>
  <c r="E176"/>
  <c r="G175"/>
  <c r="F175"/>
  <c r="E175"/>
  <c r="G174"/>
  <c r="F174"/>
  <c r="E174"/>
  <c r="G173"/>
  <c r="F173"/>
  <c r="E173"/>
  <c r="G172"/>
  <c r="F172"/>
  <c r="E172"/>
  <c r="G171"/>
  <c r="F171"/>
  <c r="E171"/>
  <c r="G170"/>
  <c r="F170"/>
  <c r="E170"/>
  <c r="G169"/>
  <c r="F169"/>
  <c r="E169"/>
  <c r="G168"/>
  <c r="F168"/>
  <c r="E168"/>
  <c r="D21" i="6"/>
  <c r="B25" i="2"/>
  <c r="B14" i="6"/>
  <c r="B15" s="1"/>
  <c r="B16" s="1"/>
  <c r="B5"/>
  <c r="B6" s="1"/>
  <c r="B4"/>
  <c r="B24" i="2" s="1"/>
  <c r="I141" i="3"/>
  <c r="H141"/>
  <c r="I142"/>
  <c r="I143"/>
  <c r="I144"/>
  <c r="I140"/>
  <c r="H142"/>
  <c r="H143"/>
  <c r="H144"/>
  <c r="H140"/>
  <c r="G140"/>
  <c r="E140"/>
  <c r="G144"/>
  <c r="K144" s="1"/>
  <c r="F144"/>
  <c r="E144"/>
  <c r="G143"/>
  <c r="K143" s="1"/>
  <c r="F143"/>
  <c r="E143"/>
  <c r="G142"/>
  <c r="K142" s="1"/>
  <c r="F142"/>
  <c r="E142"/>
  <c r="G141"/>
  <c r="F141"/>
  <c r="E141"/>
  <c r="F140"/>
  <c r="C145"/>
  <c r="C146" s="1"/>
  <c r="B5" i="2" s="1"/>
  <c r="D138" i="3"/>
  <c r="P115"/>
  <c r="P117" s="1"/>
  <c r="G130"/>
  <c r="F130"/>
  <c r="E130"/>
  <c r="G129"/>
  <c r="F129"/>
  <c r="E129"/>
  <c r="G128"/>
  <c r="F128"/>
  <c r="E128"/>
  <c r="G127"/>
  <c r="F127"/>
  <c r="E127"/>
  <c r="G126"/>
  <c r="F126"/>
  <c r="E126"/>
  <c r="G125"/>
  <c r="F125"/>
  <c r="E125"/>
  <c r="G124"/>
  <c r="F124"/>
  <c r="E124"/>
  <c r="G123"/>
  <c r="F123"/>
  <c r="E123"/>
  <c r="G122"/>
  <c r="F122"/>
  <c r="E122"/>
  <c r="E114"/>
  <c r="D130" s="1"/>
  <c r="I130" s="1"/>
  <c r="P93"/>
  <c r="P56"/>
  <c r="P59" s="1"/>
  <c r="E92"/>
  <c r="G108"/>
  <c r="F108"/>
  <c r="E108"/>
  <c r="G107"/>
  <c r="F107"/>
  <c r="E107"/>
  <c r="G106"/>
  <c r="F106"/>
  <c r="E106"/>
  <c r="G105"/>
  <c r="F105"/>
  <c r="E105"/>
  <c r="G104"/>
  <c r="F104"/>
  <c r="E104"/>
  <c r="G103"/>
  <c r="F103"/>
  <c r="E103"/>
  <c r="G102"/>
  <c r="F102"/>
  <c r="E102"/>
  <c r="G101"/>
  <c r="F101"/>
  <c r="E101"/>
  <c r="G100"/>
  <c r="F100"/>
  <c r="E100"/>
  <c r="P96"/>
  <c r="C57"/>
  <c r="E71"/>
  <c r="G71"/>
  <c r="F71"/>
  <c r="G70"/>
  <c r="F70"/>
  <c r="E70"/>
  <c r="G69"/>
  <c r="F69"/>
  <c r="E69"/>
  <c r="G68"/>
  <c r="F68"/>
  <c r="E68"/>
  <c r="G67"/>
  <c r="D76" i="9" s="1"/>
  <c r="D84" s="1"/>
  <c r="D138" s="1"/>
  <c r="B138" s="1"/>
  <c r="F137" s="1"/>
  <c r="F67" i="3"/>
  <c r="E67"/>
  <c r="G66"/>
  <c r="F66"/>
  <c r="E66"/>
  <c r="G65"/>
  <c r="F65"/>
  <c r="E65"/>
  <c r="G64"/>
  <c r="F64"/>
  <c r="E64"/>
  <c r="G63"/>
  <c r="F63"/>
  <c r="E63"/>
  <c r="E55"/>
  <c r="E30"/>
  <c r="G47"/>
  <c r="F47"/>
  <c r="E47"/>
  <c r="G41"/>
  <c r="G42"/>
  <c r="G43"/>
  <c r="G44"/>
  <c r="G45"/>
  <c r="G46"/>
  <c r="G48"/>
  <c r="F41"/>
  <c r="F42"/>
  <c r="F43"/>
  <c r="F44"/>
  <c r="F45"/>
  <c r="F46"/>
  <c r="F48"/>
  <c r="E42"/>
  <c r="E43"/>
  <c r="E44"/>
  <c r="E45"/>
  <c r="E46"/>
  <c r="E48"/>
  <c r="E41"/>
  <c r="G40"/>
  <c r="F40"/>
  <c r="E40"/>
  <c r="B4" i="2"/>
  <c r="C33" i="3"/>
  <c r="P31"/>
  <c r="P33" s="1"/>
  <c r="C9"/>
  <c r="P114" s="1"/>
  <c r="C8"/>
  <c r="P30" s="1"/>
  <c r="C7"/>
  <c r="B12" i="9" l="1"/>
  <c r="B11"/>
  <c r="E33" i="3"/>
  <c r="G33" s="1"/>
  <c r="K30"/>
  <c r="K32" s="1"/>
  <c r="E57"/>
  <c r="G57" s="1"/>
  <c r="L144"/>
  <c r="L140"/>
  <c r="L141"/>
  <c r="L143"/>
  <c r="L142"/>
  <c r="J228"/>
  <c r="J253"/>
  <c r="K256"/>
  <c r="K250"/>
  <c r="F135" i="9"/>
  <c r="F134" s="1"/>
  <c r="B133" s="1"/>
  <c r="K258" i="3"/>
  <c r="C177"/>
  <c r="D44" i="1" s="1"/>
  <c r="D170" i="3"/>
  <c r="I170" s="1"/>
  <c r="K170" s="1"/>
  <c r="D171"/>
  <c r="H171" s="1"/>
  <c r="J171" s="1"/>
  <c r="D172"/>
  <c r="D173"/>
  <c r="H173" s="1"/>
  <c r="J173" s="1"/>
  <c r="D174"/>
  <c r="D175"/>
  <c r="H175" s="1"/>
  <c r="J175" s="1"/>
  <c r="B99" i="9"/>
  <c r="B101" s="1"/>
  <c r="B102" s="1"/>
  <c r="B103" s="1"/>
  <c r="F106"/>
  <c r="K253" i="3"/>
  <c r="K255"/>
  <c r="J252"/>
  <c r="J227"/>
  <c r="K231"/>
  <c r="K233"/>
  <c r="K235"/>
  <c r="K228"/>
  <c r="J231"/>
  <c r="K232"/>
  <c r="J233"/>
  <c r="K234"/>
  <c r="J235"/>
  <c r="C276"/>
  <c r="S64" i="7"/>
  <c r="R59"/>
  <c r="O60"/>
  <c r="R66"/>
  <c r="D71" i="3"/>
  <c r="I71" s="1"/>
  <c r="K71" s="1"/>
  <c r="B17" i="6"/>
  <c r="B26" i="2" s="1"/>
  <c r="C13" i="1"/>
  <c r="H130" i="3"/>
  <c r="J130" s="1"/>
  <c r="H47" i="1"/>
  <c r="D47"/>
  <c r="J84" i="9"/>
  <c r="B132" s="1"/>
  <c r="B139"/>
  <c r="B140" s="1"/>
  <c r="B12" i="2"/>
  <c r="K130" i="3"/>
  <c r="P160"/>
  <c r="S159" s="1"/>
  <c r="C13" s="1"/>
  <c r="P183"/>
  <c r="S182" s="1"/>
  <c r="C20" s="1"/>
  <c r="H49" i="1"/>
  <c r="D49"/>
  <c r="N73" i="7"/>
  <c r="K148"/>
  <c r="O72"/>
  <c r="H55" i="1"/>
  <c r="J97" i="7"/>
  <c r="H57" i="1"/>
  <c r="N78" i="7"/>
  <c r="O127"/>
  <c r="F86" i="9"/>
  <c r="H84"/>
  <c r="H90"/>
  <c r="J127" i="7"/>
  <c r="K130"/>
  <c r="J130"/>
  <c r="J126"/>
  <c r="J129"/>
  <c r="K129"/>
  <c r="K125"/>
  <c r="J125"/>
  <c r="K132"/>
  <c r="J132"/>
  <c r="K128"/>
  <c r="J128"/>
  <c r="O76"/>
  <c r="Q140"/>
  <c r="R35"/>
  <c r="E61"/>
  <c r="Q144"/>
  <c r="O143"/>
  <c r="O145"/>
  <c r="O139"/>
  <c r="Q139"/>
  <c r="O128"/>
  <c r="Q125"/>
  <c r="O130"/>
  <c r="Q130"/>
  <c r="Q129"/>
  <c r="O129"/>
  <c r="O132"/>
  <c r="Q132"/>
  <c r="I127"/>
  <c r="Q127" s="1"/>
  <c r="I126"/>
  <c r="Q126" s="1"/>
  <c r="O142"/>
  <c r="Q142"/>
  <c r="O141"/>
  <c r="Q141"/>
  <c r="O140"/>
  <c r="Q72"/>
  <c r="Q80"/>
  <c r="N77"/>
  <c r="Q77"/>
  <c r="O91"/>
  <c r="E88" s="1"/>
  <c r="J103"/>
  <c r="J101"/>
  <c r="R78"/>
  <c r="N72"/>
  <c r="R79"/>
  <c r="R76"/>
  <c r="Q76"/>
  <c r="O77"/>
  <c r="O80"/>
  <c r="N80"/>
  <c r="Q78"/>
  <c r="R72"/>
  <c r="O79"/>
  <c r="N79"/>
  <c r="K97"/>
  <c r="O73"/>
  <c r="R75"/>
  <c r="Q75"/>
  <c r="R73"/>
  <c r="Q73"/>
  <c r="J73"/>
  <c r="C106"/>
  <c r="J104"/>
  <c r="J102"/>
  <c r="I99"/>
  <c r="D99"/>
  <c r="I100"/>
  <c r="D100"/>
  <c r="J100" s="1"/>
  <c r="J98"/>
  <c r="D46"/>
  <c r="K46" s="1"/>
  <c r="K49"/>
  <c r="J49"/>
  <c r="K50"/>
  <c r="J50"/>
  <c r="I74"/>
  <c r="O74" s="1"/>
  <c r="H74"/>
  <c r="Q74" s="1"/>
  <c r="C52"/>
  <c r="C17" s="1"/>
  <c r="H46"/>
  <c r="K47"/>
  <c r="J47"/>
  <c r="K43"/>
  <c r="J43"/>
  <c r="K48"/>
  <c r="J48"/>
  <c r="C81"/>
  <c r="D55" i="1" s="1"/>
  <c r="I44" i="7"/>
  <c r="K44" s="1"/>
  <c r="H44"/>
  <c r="J44" s="1"/>
  <c r="H45"/>
  <c r="J45" s="1"/>
  <c r="I45"/>
  <c r="K45" s="1"/>
  <c r="K229" i="3"/>
  <c r="K230"/>
  <c r="J229"/>
  <c r="K227"/>
  <c r="J144"/>
  <c r="J234"/>
  <c r="J232"/>
  <c r="J230"/>
  <c r="P186"/>
  <c r="C200"/>
  <c r="D192"/>
  <c r="D191"/>
  <c r="I191" s="1"/>
  <c r="K191" s="1"/>
  <c r="H192"/>
  <c r="J192" s="1"/>
  <c r="I193"/>
  <c r="K193" s="1"/>
  <c r="H194"/>
  <c r="J194" s="1"/>
  <c r="I195"/>
  <c r="K195" s="1"/>
  <c r="H196"/>
  <c r="J196" s="1"/>
  <c r="I197"/>
  <c r="K197" s="1"/>
  <c r="H198"/>
  <c r="J198" s="1"/>
  <c r="I199"/>
  <c r="K199" s="1"/>
  <c r="I192"/>
  <c r="K192" s="1"/>
  <c r="H193"/>
  <c r="J193" s="1"/>
  <c r="I194"/>
  <c r="K194" s="1"/>
  <c r="H195"/>
  <c r="J195" s="1"/>
  <c r="I196"/>
  <c r="K196" s="1"/>
  <c r="H197"/>
  <c r="J197" s="1"/>
  <c r="I198"/>
  <c r="K198" s="1"/>
  <c r="H199"/>
  <c r="J199" s="1"/>
  <c r="P163"/>
  <c r="D176"/>
  <c r="H176" s="1"/>
  <c r="J176" s="1"/>
  <c r="H168"/>
  <c r="J168" s="1"/>
  <c r="D169"/>
  <c r="I172"/>
  <c r="K172" s="1"/>
  <c r="I174"/>
  <c r="K174" s="1"/>
  <c r="I168"/>
  <c r="K168" s="1"/>
  <c r="H172"/>
  <c r="J172" s="1"/>
  <c r="H174"/>
  <c r="J174" s="1"/>
  <c r="K146"/>
  <c r="J140"/>
  <c r="J143"/>
  <c r="K140"/>
  <c r="J141"/>
  <c r="J142"/>
  <c r="K141"/>
  <c r="D107"/>
  <c r="S114"/>
  <c r="C115" s="1"/>
  <c r="E115" s="1"/>
  <c r="G115" s="1"/>
  <c r="P118"/>
  <c r="S113" s="1"/>
  <c r="C22" s="1"/>
  <c r="C131"/>
  <c r="D42" i="1" s="1"/>
  <c r="D122" i="3"/>
  <c r="D124"/>
  <c r="D125"/>
  <c r="D126"/>
  <c r="D127"/>
  <c r="D128"/>
  <c r="D129"/>
  <c r="P92"/>
  <c r="S91" s="1"/>
  <c r="C15" s="1"/>
  <c r="C220" s="1"/>
  <c r="P58"/>
  <c r="D101"/>
  <c r="C109"/>
  <c r="D41" i="1" s="1"/>
  <c r="D42" i="3"/>
  <c r="I42" s="1"/>
  <c r="D100"/>
  <c r="D66"/>
  <c r="D40"/>
  <c r="D44"/>
  <c r="I44" s="1"/>
  <c r="D46"/>
  <c r="I46" s="1"/>
  <c r="D48"/>
  <c r="I48" s="1"/>
  <c r="D65"/>
  <c r="D43"/>
  <c r="D45"/>
  <c r="D47"/>
  <c r="H46"/>
  <c r="J46" s="1"/>
  <c r="H48"/>
  <c r="J48" s="1"/>
  <c r="P95"/>
  <c r="D102"/>
  <c r="D104"/>
  <c r="D106"/>
  <c r="D108"/>
  <c r="D103"/>
  <c r="D105"/>
  <c r="P34"/>
  <c r="S27" s="1"/>
  <c r="C12" s="1"/>
  <c r="D68"/>
  <c r="D70"/>
  <c r="P55"/>
  <c r="D63"/>
  <c r="D67"/>
  <c r="D69"/>
  <c r="C49"/>
  <c r="S30"/>
  <c r="C31" s="1"/>
  <c r="E31" s="1"/>
  <c r="G31" s="1"/>
  <c r="I175" l="1"/>
  <c r="K175" s="1"/>
  <c r="I173"/>
  <c r="K173" s="1"/>
  <c r="I171"/>
  <c r="K171" s="1"/>
  <c r="H44" i="1"/>
  <c r="I176" i="3"/>
  <c r="K176" s="1"/>
  <c r="D38" i="1"/>
  <c r="C95" i="3"/>
  <c r="E95" s="1"/>
  <c r="G95" s="1"/>
  <c r="C244"/>
  <c r="C11"/>
  <c r="L145"/>
  <c r="L147" s="1"/>
  <c r="H170"/>
  <c r="J170" s="1"/>
  <c r="S183"/>
  <c r="C184" s="1"/>
  <c r="E184" s="1"/>
  <c r="G184" s="1"/>
  <c r="S160"/>
  <c r="C161" s="1"/>
  <c r="E161" s="1"/>
  <c r="S92"/>
  <c r="C93" s="1"/>
  <c r="E93" s="1"/>
  <c r="G93" s="1"/>
  <c r="J259"/>
  <c r="J261" s="1"/>
  <c r="B75" i="2" s="1"/>
  <c r="D75" s="1"/>
  <c r="K259" i="3"/>
  <c r="C75" i="2" s="1"/>
  <c r="G75" s="1"/>
  <c r="H71" i="3"/>
  <c r="J71" s="1"/>
  <c r="F132" i="9"/>
  <c r="C143"/>
  <c r="B143"/>
  <c r="R65" i="7"/>
  <c r="R60"/>
  <c r="C63" s="1"/>
  <c r="E63" s="1"/>
  <c r="G63" s="1"/>
  <c r="T60"/>
  <c r="B134" i="9"/>
  <c r="R57" i="7"/>
  <c r="H42" i="3"/>
  <c r="J42" s="1"/>
  <c r="I69"/>
  <c r="H69"/>
  <c r="J69" s="1"/>
  <c r="I63"/>
  <c r="K63" s="1"/>
  <c r="H63"/>
  <c r="J63" s="1"/>
  <c r="H70"/>
  <c r="J70" s="1"/>
  <c r="I70"/>
  <c r="K70" s="1"/>
  <c r="I67"/>
  <c r="K67" s="1"/>
  <c r="H67"/>
  <c r="J67" s="1"/>
  <c r="H68"/>
  <c r="J68" s="1"/>
  <c r="I68"/>
  <c r="K68" s="1"/>
  <c r="I103"/>
  <c r="K103" s="1"/>
  <c r="H103"/>
  <c r="J103" s="1"/>
  <c r="I106"/>
  <c r="K106" s="1"/>
  <c r="H106"/>
  <c r="J106" s="1"/>
  <c r="I102"/>
  <c r="K102" s="1"/>
  <c r="H102"/>
  <c r="J102" s="1"/>
  <c r="H47"/>
  <c r="J47" s="1"/>
  <c r="I47"/>
  <c r="K47" s="1"/>
  <c r="H66"/>
  <c r="J66" s="1"/>
  <c r="I66"/>
  <c r="K66" s="1"/>
  <c r="H41" i="1"/>
  <c r="I100" i="3"/>
  <c r="K100" s="1"/>
  <c r="H100"/>
  <c r="J100" s="1"/>
  <c r="I129"/>
  <c r="K129" s="1"/>
  <c r="H129"/>
  <c r="I127"/>
  <c r="K127" s="1"/>
  <c r="H127"/>
  <c r="I125"/>
  <c r="K125" s="1"/>
  <c r="H125"/>
  <c r="J125" s="1"/>
  <c r="I122"/>
  <c r="K122" s="1"/>
  <c r="H122"/>
  <c r="J122" s="1"/>
  <c r="C186"/>
  <c r="E186" s="1"/>
  <c r="C58"/>
  <c r="E58" s="1"/>
  <c r="G58" s="1"/>
  <c r="I107"/>
  <c r="K107" s="1"/>
  <c r="H107"/>
  <c r="J107" s="1"/>
  <c r="J129"/>
  <c r="H191"/>
  <c r="J191" s="1"/>
  <c r="J200" s="1"/>
  <c r="J202" s="1"/>
  <c r="D209" s="1"/>
  <c r="H45" i="1"/>
  <c r="D45"/>
  <c r="K69" i="3"/>
  <c r="K42"/>
  <c r="J127"/>
  <c r="C14" i="1"/>
  <c r="C51" i="12"/>
  <c r="C52" s="1"/>
  <c r="I105" i="3"/>
  <c r="K105" s="1"/>
  <c r="H105"/>
  <c r="J105" s="1"/>
  <c r="I108"/>
  <c r="K108" s="1"/>
  <c r="H108"/>
  <c r="J108" s="1"/>
  <c r="I104"/>
  <c r="K104" s="1"/>
  <c r="H104"/>
  <c r="J104" s="1"/>
  <c r="H45"/>
  <c r="J45" s="1"/>
  <c r="I45"/>
  <c r="K45" s="1"/>
  <c r="I65"/>
  <c r="K65" s="1"/>
  <c r="H65"/>
  <c r="J65" s="1"/>
  <c r="H40"/>
  <c r="J40" s="1"/>
  <c r="I40"/>
  <c r="K40" s="1"/>
  <c r="I101"/>
  <c r="K101" s="1"/>
  <c r="H101"/>
  <c r="J101" s="1"/>
  <c r="C32"/>
  <c r="K27" s="1"/>
  <c r="C162"/>
  <c r="E162" s="1"/>
  <c r="I128"/>
  <c r="K128" s="1"/>
  <c r="H128"/>
  <c r="J128" s="1"/>
  <c r="I126"/>
  <c r="K126" s="1"/>
  <c r="H126"/>
  <c r="J126" s="1"/>
  <c r="I124"/>
  <c r="K124" s="1"/>
  <c r="H124"/>
  <c r="J124" s="1"/>
  <c r="K46"/>
  <c r="K48"/>
  <c r="D54" i="1"/>
  <c r="H44" i="3"/>
  <c r="J44" s="1"/>
  <c r="K44"/>
  <c r="I43"/>
  <c r="K43" s="1"/>
  <c r="K126" i="7"/>
  <c r="K127"/>
  <c r="H54" i="1"/>
  <c r="K2" i="3"/>
  <c r="B104" i="9"/>
  <c r="B105" s="1"/>
  <c r="B106" s="1"/>
  <c r="T91" i="7"/>
  <c r="R88" s="1"/>
  <c r="J148"/>
  <c r="J150" s="1"/>
  <c r="Q148"/>
  <c r="O148"/>
  <c r="O149" s="1"/>
  <c r="R74"/>
  <c r="R81" s="1"/>
  <c r="Q81"/>
  <c r="Q82" s="1"/>
  <c r="N74"/>
  <c r="K100"/>
  <c r="J99"/>
  <c r="J106" s="1"/>
  <c r="J108" s="1"/>
  <c r="K99"/>
  <c r="J46"/>
  <c r="J52" s="1"/>
  <c r="J54" s="1"/>
  <c r="K52"/>
  <c r="K74"/>
  <c r="J74"/>
  <c r="K145" i="3"/>
  <c r="K147" s="1"/>
  <c r="J145"/>
  <c r="J147" s="1"/>
  <c r="K236"/>
  <c r="C74" i="2" s="1"/>
  <c r="G74" s="1"/>
  <c r="J236" i="3"/>
  <c r="J238" s="1"/>
  <c r="B74" i="2" s="1"/>
  <c r="D74" s="1"/>
  <c r="K200" i="3"/>
  <c r="E209" s="1"/>
  <c r="I169"/>
  <c r="K169" s="1"/>
  <c r="K177" s="1"/>
  <c r="E208" s="1"/>
  <c r="H169"/>
  <c r="J169" s="1"/>
  <c r="J177" s="1"/>
  <c r="J179" s="1"/>
  <c r="D208" s="1"/>
  <c r="H43"/>
  <c r="J43" s="1"/>
  <c r="D123"/>
  <c r="D41"/>
  <c r="S55"/>
  <c r="S54"/>
  <c r="C19" s="1"/>
  <c r="C18" s="1"/>
  <c r="D64"/>
  <c r="H39" i="1" s="1"/>
  <c r="C72" i="3"/>
  <c r="C243" l="1"/>
  <c r="C245" s="1"/>
  <c r="C246" s="1"/>
  <c r="C117"/>
  <c r="C56"/>
  <c r="E56" s="1"/>
  <c r="C219"/>
  <c r="C94"/>
  <c r="E94" s="1"/>
  <c r="G94" s="1"/>
  <c r="D39" i="1"/>
  <c r="C116" i="3"/>
  <c r="E116" s="1"/>
  <c r="G116" s="1"/>
  <c r="E32"/>
  <c r="K28"/>
  <c r="C144" i="9"/>
  <c r="B144"/>
  <c r="S65" i="7"/>
  <c r="T65"/>
  <c r="C221" i="3"/>
  <c r="C223" s="1"/>
  <c r="L231" s="1"/>
  <c r="I64"/>
  <c r="K64" s="1"/>
  <c r="K72" s="1"/>
  <c r="H64"/>
  <c r="J64" s="1"/>
  <c r="J72" s="1"/>
  <c r="I123"/>
  <c r="K123" s="1"/>
  <c r="K131" s="1"/>
  <c r="E151" s="1"/>
  <c r="H123"/>
  <c r="J123" s="1"/>
  <c r="J131" s="1"/>
  <c r="J133" s="1"/>
  <c r="D151" s="1"/>
  <c r="H42" i="1"/>
  <c r="C164" i="3"/>
  <c r="G162"/>
  <c r="G186"/>
  <c r="C187"/>
  <c r="I41"/>
  <c r="K41" s="1"/>
  <c r="K49" s="1"/>
  <c r="H38" i="1"/>
  <c r="C89" i="2"/>
  <c r="G89" s="1"/>
  <c r="C78"/>
  <c r="G78" s="1"/>
  <c r="B89"/>
  <c r="D89" s="1"/>
  <c r="B78"/>
  <c r="D78" s="1"/>
  <c r="B108" i="9"/>
  <c r="B115" s="1"/>
  <c r="B107"/>
  <c r="K106" i="7"/>
  <c r="K73"/>
  <c r="J78"/>
  <c r="K78"/>
  <c r="J80"/>
  <c r="K80"/>
  <c r="K72"/>
  <c r="J72"/>
  <c r="K75"/>
  <c r="J75"/>
  <c r="K77"/>
  <c r="J77"/>
  <c r="J76"/>
  <c r="K76"/>
  <c r="K79"/>
  <c r="J79"/>
  <c r="C96" i="3"/>
  <c r="K3"/>
  <c r="K5" s="1"/>
  <c r="C281" s="1"/>
  <c r="E117"/>
  <c r="C118" s="1"/>
  <c r="H41"/>
  <c r="J41" s="1"/>
  <c r="J49" s="1"/>
  <c r="J51" s="1"/>
  <c r="J109"/>
  <c r="J111" s="1"/>
  <c r="D150" s="1"/>
  <c r="K109"/>
  <c r="E150" s="1"/>
  <c r="G56" l="1"/>
  <c r="C59"/>
  <c r="D43" i="12" s="1"/>
  <c r="K29" i="3"/>
  <c r="G32"/>
  <c r="C34"/>
  <c r="C35" s="1"/>
  <c r="C247"/>
  <c r="C224"/>
  <c r="L229"/>
  <c r="L227"/>
  <c r="L234"/>
  <c r="L232"/>
  <c r="L233"/>
  <c r="L228"/>
  <c r="L230"/>
  <c r="B114" i="9"/>
  <c r="C118" s="1"/>
  <c r="L235" i="3"/>
  <c r="E81"/>
  <c r="C71" i="2"/>
  <c r="G71" s="1"/>
  <c r="C86"/>
  <c r="G86" s="1"/>
  <c r="C209" i="3"/>
  <c r="L193"/>
  <c r="L195"/>
  <c r="L197"/>
  <c r="L199"/>
  <c r="L194"/>
  <c r="L196"/>
  <c r="L198"/>
  <c r="L191"/>
  <c r="G187"/>
  <c r="L192"/>
  <c r="C188"/>
  <c r="G188" s="1"/>
  <c r="D79"/>
  <c r="B70" i="2"/>
  <c r="D70" s="1"/>
  <c r="B85"/>
  <c r="D85" s="1"/>
  <c r="E79" i="3"/>
  <c r="C85" i="2"/>
  <c r="G85" s="1"/>
  <c r="C70"/>
  <c r="G70" s="1"/>
  <c r="L253" i="3"/>
  <c r="L257"/>
  <c r="L252"/>
  <c r="L258"/>
  <c r="L254"/>
  <c r="L255"/>
  <c r="L250"/>
  <c r="L256"/>
  <c r="L251"/>
  <c r="B119" i="9"/>
  <c r="C119"/>
  <c r="K81" i="7"/>
  <c r="C79" i="2" s="1"/>
  <c r="G79" s="1"/>
  <c r="J81" i="7"/>
  <c r="J83" s="1"/>
  <c r="B79" i="2" s="1"/>
  <c r="D79" s="1"/>
  <c r="O81" i="7"/>
  <c r="C90" i="2" s="1"/>
  <c r="G90" s="1"/>
  <c r="N81" i="7"/>
  <c r="N82" s="1"/>
  <c r="B90" i="2" s="1"/>
  <c r="D90" s="1"/>
  <c r="G117" i="3"/>
  <c r="C150"/>
  <c r="L101"/>
  <c r="C97"/>
  <c r="G97" s="1"/>
  <c r="L69"/>
  <c r="G59"/>
  <c r="L107"/>
  <c r="L100"/>
  <c r="L106"/>
  <c r="G96"/>
  <c r="L105"/>
  <c r="L104"/>
  <c r="L102"/>
  <c r="L103"/>
  <c r="L108"/>
  <c r="J74"/>
  <c r="L68"/>
  <c r="L67"/>
  <c r="C81"/>
  <c r="C60"/>
  <c r="G60" s="1"/>
  <c r="L70"/>
  <c r="L66"/>
  <c r="L65"/>
  <c r="L71"/>
  <c r="L63"/>
  <c r="L64"/>
  <c r="G34" l="1"/>
  <c r="L40"/>
  <c r="L43"/>
  <c r="L45"/>
  <c r="L44"/>
  <c r="G35"/>
  <c r="L41"/>
  <c r="D42" i="12"/>
  <c r="C47" s="1"/>
  <c r="C48" s="1"/>
  <c r="B23" i="2" s="1"/>
  <c r="L46" i="3"/>
  <c r="L48"/>
  <c r="C79"/>
  <c r="L42"/>
  <c r="C83"/>
  <c r="L47"/>
  <c r="L236"/>
  <c r="L238" s="1"/>
  <c r="C269" s="1"/>
  <c r="B118" i="9"/>
  <c r="L200" i="3"/>
  <c r="L202" s="1"/>
  <c r="D81"/>
  <c r="B86" i="2"/>
  <c r="D86" s="1"/>
  <c r="B71"/>
  <c r="D71" s="1"/>
  <c r="L259" i="3"/>
  <c r="L261" s="1"/>
  <c r="C270" s="1"/>
  <c r="G66" i="7"/>
  <c r="C151" i="3"/>
  <c r="C152" s="1"/>
  <c r="C119"/>
  <c r="G119" s="1"/>
  <c r="G118"/>
  <c r="L128"/>
  <c r="L124"/>
  <c r="L129"/>
  <c r="L125"/>
  <c r="L130"/>
  <c r="L126"/>
  <c r="L122"/>
  <c r="L127"/>
  <c r="L123"/>
  <c r="L109"/>
  <c r="L111" s="1"/>
  <c r="L72"/>
  <c r="L74" s="1"/>
  <c r="C86" l="1"/>
  <c r="C85"/>
  <c r="L49"/>
  <c r="L51" s="1"/>
  <c r="C87" s="1"/>
  <c r="C266" s="1"/>
  <c r="D152"/>
  <c r="D153" s="1"/>
  <c r="B72" i="2" s="1"/>
  <c r="D72" s="1"/>
  <c r="E152" i="3"/>
  <c r="E153" s="1"/>
  <c r="C72" i="2" s="1"/>
  <c r="G72" s="1"/>
  <c r="L131" i="3"/>
  <c r="L133" s="1"/>
  <c r="D155" s="1"/>
  <c r="C267" s="1"/>
  <c r="G161"/>
  <c r="L175"/>
  <c r="L169" l="1"/>
  <c r="L170"/>
  <c r="L173"/>
  <c r="C208"/>
  <c r="L176"/>
  <c r="L171"/>
  <c r="L168"/>
  <c r="L174"/>
  <c r="G164"/>
  <c r="C165"/>
  <c r="L172"/>
  <c r="G165" l="1"/>
  <c r="C282"/>
  <c r="C283" s="1"/>
  <c r="B4" i="10" s="1"/>
  <c r="D4" s="1"/>
  <c r="C210" i="3"/>
  <c r="C213" s="1"/>
  <c r="C73" i="2" s="1"/>
  <c r="G73" s="1"/>
  <c r="L177" i="3"/>
  <c r="L179" s="1"/>
  <c r="C214" s="1"/>
  <c r="C268" s="1"/>
  <c r="C264" s="1"/>
  <c r="C212" l="1"/>
  <c r="B73" i="2" s="1"/>
  <c r="D73" s="1"/>
  <c r="I131" i="7"/>
  <c r="K131" s="1"/>
  <c r="H131"/>
  <c r="J131" s="1"/>
  <c r="C134"/>
  <c r="E18" s="1"/>
  <c r="F18" l="1"/>
  <c r="C18" s="1"/>
  <c r="D57" i="1"/>
  <c r="K134" i="7"/>
  <c r="C81" i="2" s="1"/>
  <c r="G81" s="1"/>
  <c r="Q131" i="7"/>
  <c r="Q134" s="1"/>
  <c r="C91" i="2" s="1"/>
  <c r="G91" s="1"/>
  <c r="J134" i="7"/>
  <c r="J136" s="1"/>
  <c r="B81" i="2" s="1"/>
  <c r="D81" s="1"/>
  <c r="O131" i="7"/>
  <c r="O134" s="1"/>
  <c r="O135" s="1"/>
  <c r="B91" i="2" s="1"/>
  <c r="D91" s="1"/>
  <c r="D10" i="9"/>
  <c r="F10" l="1"/>
  <c r="C24"/>
  <c r="F63"/>
  <c r="F61" s="1"/>
  <c r="F60" s="1"/>
  <c r="B59" s="1"/>
  <c r="J11"/>
  <c r="B58" s="1"/>
  <c r="F58" l="1"/>
  <c r="B60"/>
  <c r="E24"/>
  <c r="D24"/>
  <c r="B65"/>
  <c r="B66" s="1"/>
  <c r="B69" s="1"/>
  <c r="F14"/>
  <c r="H11"/>
  <c r="H18"/>
  <c r="B70" l="1"/>
  <c r="C69"/>
  <c r="C168" i="7" s="1"/>
  <c r="C70" i="9"/>
  <c r="C156" i="7" s="1"/>
  <c r="F24" i="9"/>
  <c r="F32" s="1"/>
  <c r="C289" i="3"/>
  <c r="B25" i="9" l="1"/>
  <c r="D21" s="1"/>
  <c r="B17" i="2"/>
  <c r="B27" i="9" l="1"/>
  <c r="B28" l="1"/>
  <c r="B29" s="1"/>
  <c r="B30" s="1"/>
  <c r="B31" l="1"/>
  <c r="B32" s="1"/>
  <c r="B34" l="1"/>
  <c r="B33"/>
  <c r="C6" i="7"/>
  <c r="C117" l="1"/>
  <c r="C118"/>
  <c r="E118" s="1"/>
  <c r="G118" s="1"/>
  <c r="C116"/>
  <c r="C91"/>
  <c r="C37"/>
  <c r="E37" s="1"/>
  <c r="G37" s="1"/>
  <c r="R91" l="1"/>
  <c r="C90" s="1"/>
  <c r="E90" s="1"/>
  <c r="E91"/>
  <c r="G90" l="1"/>
  <c r="C93"/>
  <c r="G91"/>
  <c r="L104" l="1"/>
  <c r="L99"/>
  <c r="G93"/>
  <c r="L103"/>
  <c r="L102"/>
  <c r="C94"/>
  <c r="G94" s="1"/>
  <c r="L97"/>
  <c r="L105"/>
  <c r="L100"/>
  <c r="L98"/>
  <c r="L101"/>
  <c r="L106" l="1"/>
  <c r="E34"/>
  <c r="R36"/>
  <c r="C36" s="1"/>
  <c r="E36" s="1"/>
  <c r="T36"/>
  <c r="R33" s="1"/>
  <c r="C10" s="1"/>
  <c r="F108" i="9" s="1"/>
  <c r="L108" i="7" l="1"/>
  <c r="C9"/>
  <c r="F34" i="9"/>
  <c r="F35" s="1"/>
  <c r="C39" i="7"/>
  <c r="G36"/>
  <c r="C163" l="1"/>
  <c r="C65"/>
  <c r="E65" s="1"/>
  <c r="G65" s="1"/>
  <c r="C115"/>
  <c r="C64"/>
  <c r="E64" s="1"/>
  <c r="G64" s="1"/>
  <c r="C114"/>
  <c r="E115"/>
  <c r="G115" s="1"/>
  <c r="L47"/>
  <c r="L45"/>
  <c r="L48"/>
  <c r="L46"/>
  <c r="C40"/>
  <c r="L49"/>
  <c r="G39"/>
  <c r="L43"/>
  <c r="L50"/>
  <c r="L51"/>
  <c r="L44"/>
  <c r="R113"/>
  <c r="C120" s="1"/>
  <c r="G120" s="1"/>
  <c r="E116"/>
  <c r="G116" s="1"/>
  <c r="E117"/>
  <c r="G117" s="1"/>
  <c r="E114"/>
  <c r="G114" s="1"/>
  <c r="R112"/>
  <c r="C119" s="1"/>
  <c r="C68" l="1"/>
  <c r="L79" s="1"/>
  <c r="L141"/>
  <c r="L127"/>
  <c r="L133"/>
  <c r="G119"/>
  <c r="L129"/>
  <c r="E119"/>
  <c r="L147"/>
  <c r="L131"/>
  <c r="L132"/>
  <c r="L139"/>
  <c r="L143"/>
  <c r="L142"/>
  <c r="L146"/>
  <c r="L144"/>
  <c r="L140"/>
  <c r="L125"/>
  <c r="L128"/>
  <c r="L126"/>
  <c r="L145"/>
  <c r="L130"/>
  <c r="C121"/>
  <c r="G121" s="1"/>
  <c r="L52"/>
  <c r="F107" i="9" s="1"/>
  <c r="G40" i="7"/>
  <c r="L77" l="1"/>
  <c r="G68"/>
  <c r="L80"/>
  <c r="C69"/>
  <c r="G69" s="1"/>
  <c r="L78"/>
  <c r="L75"/>
  <c r="L76"/>
  <c r="L72"/>
  <c r="L74"/>
  <c r="L73"/>
  <c r="L54"/>
  <c r="F33" i="9"/>
  <c r="B35" s="1"/>
  <c r="L134" i="7"/>
  <c r="L136" s="1"/>
  <c r="L148"/>
  <c r="L150" s="1"/>
  <c r="B80" i="2" l="1"/>
  <c r="D56" i="1"/>
  <c r="C164" i="7"/>
  <c r="C166" s="1"/>
  <c r="B3" i="10" s="1"/>
  <c r="D3" s="1"/>
  <c r="D5" s="1"/>
  <c r="D7" s="1"/>
  <c r="L81" i="7"/>
  <c r="L83" s="1"/>
  <c r="C153" s="1"/>
  <c r="C154" s="1"/>
  <c r="B40" i="9"/>
  <c r="B44" s="1"/>
  <c r="F109"/>
  <c r="B109" s="1"/>
  <c r="B110" s="1"/>
  <c r="H56" i="1"/>
  <c r="B36" i="9"/>
  <c r="B41" s="1"/>
  <c r="D80" i="2"/>
  <c r="C80"/>
  <c r="G80" s="1"/>
  <c r="B9" i="10" l="1"/>
  <c r="B10" s="1"/>
  <c r="B5"/>
  <c r="C44" i="9"/>
  <c r="C155" i="7" s="1"/>
  <c r="C157" s="1"/>
  <c r="B15" i="2" s="1"/>
  <c r="C45" i="9"/>
  <c r="C169" i="7" s="1"/>
  <c r="B45" i="9"/>
  <c r="C290" i="3" s="1"/>
  <c r="B16" i="10" l="1"/>
  <c r="B33" s="1"/>
  <c r="B14" i="2" s="1"/>
  <c r="B15" i="10"/>
  <c r="B32" s="1"/>
  <c r="B16" i="2"/>
  <c r="D27" s="1"/>
  <c r="C170" i="7" l="1"/>
  <c r="C171" s="1"/>
  <c r="D36" i="2"/>
  <c r="C291" i="3"/>
  <c r="C292" s="1"/>
  <c r="C36" i="2"/>
  <c r="C37" l="1"/>
  <c r="C46" s="1"/>
  <c r="B36"/>
  <c r="C24" i="1" s="1"/>
  <c r="D25" s="1"/>
  <c r="B37" i="2"/>
  <c r="D37"/>
  <c r="D39" s="1"/>
  <c r="B41"/>
  <c r="S71" i="1" l="1"/>
  <c r="Q71"/>
  <c r="B42" i="2" s="1"/>
  <c r="B39"/>
  <c r="B40"/>
  <c r="C27" i="1" s="1"/>
  <c r="C39" i="2"/>
  <c r="C49"/>
  <c r="C47" s="1"/>
  <c r="C40"/>
  <c r="C41"/>
  <c r="C42" s="1"/>
  <c r="C43" s="1"/>
  <c r="C51"/>
  <c r="C52" s="1"/>
  <c r="C38"/>
  <c r="D46"/>
  <c r="D38"/>
  <c r="C23" i="1"/>
  <c r="D26" s="1"/>
  <c r="C50" i="2"/>
  <c r="C48" s="1"/>
  <c r="B38"/>
  <c r="B51"/>
  <c r="B52" s="1"/>
  <c r="B22" i="6"/>
  <c r="D51" i="2"/>
  <c r="D52" s="1"/>
  <c r="D41"/>
  <c r="D42" s="1"/>
  <c r="D43" s="1"/>
  <c r="D49"/>
  <c r="D50" s="1"/>
  <c r="D48" s="1"/>
  <c r="D40"/>
  <c r="B49"/>
  <c r="B50" s="1"/>
  <c r="B48" s="1"/>
  <c r="B46"/>
  <c r="B43" l="1"/>
  <c r="Q80" i="1" s="1"/>
  <c r="Q72"/>
  <c r="S72"/>
  <c r="D47" i="2"/>
  <c r="B47"/>
</calcChain>
</file>

<file path=xl/sharedStrings.xml><?xml version="1.0" encoding="utf-8"?>
<sst xmlns="http://schemas.openxmlformats.org/spreadsheetml/2006/main" count="2265" uniqueCount="1052">
  <si>
    <t>TANK DESIGNER</t>
  </si>
  <si>
    <t>Version</t>
  </si>
  <si>
    <t>Vehicle Name</t>
  </si>
  <si>
    <t>Vehicle Type</t>
  </si>
  <si>
    <t>GENERAL DATA</t>
  </si>
  <si>
    <t>Crew</t>
  </si>
  <si>
    <t>Width: Over track armor</t>
  </si>
  <si>
    <t>Height: To turret roof</t>
  </si>
  <si>
    <t>Fire Height:</t>
  </si>
  <si>
    <t>Turret Ring Diameter: (inside)</t>
  </si>
  <si>
    <t>Ground Clearance:</t>
  </si>
  <si>
    <t>Tread:</t>
  </si>
  <si>
    <t>Crew:</t>
  </si>
  <si>
    <t>Weight, Combat Loaded:</t>
  </si>
  <si>
    <t>Weight, Unstowed:</t>
  </si>
  <si>
    <t>Gross</t>
  </si>
  <si>
    <t>Power to Weight Ratio:</t>
  </si>
  <si>
    <t>Net</t>
  </si>
  <si>
    <t>Groud Pressure: Zero penetration</t>
  </si>
  <si>
    <t>ARMOR</t>
  </si>
  <si>
    <t>Type:</t>
  </si>
  <si>
    <t>Turret</t>
  </si>
  <si>
    <t>Hull</t>
  </si>
  <si>
    <t>Assembly</t>
  </si>
  <si>
    <t>Front</t>
  </si>
  <si>
    <t>Upper</t>
  </si>
  <si>
    <t>Lower</t>
  </si>
  <si>
    <t>Front,</t>
  </si>
  <si>
    <t>Hull Thickness:</t>
  </si>
  <si>
    <t>Actual</t>
  </si>
  <si>
    <t>Angle w/ Vertical</t>
  </si>
  <si>
    <t>Sides</t>
  </si>
  <si>
    <t>Rear</t>
  </si>
  <si>
    <t>Top</t>
  </si>
  <si>
    <t>Floor</t>
  </si>
  <si>
    <t>Turret Thickness:</t>
  </si>
  <si>
    <t>Gun Shield</t>
  </si>
  <si>
    <t>ARMAMENT</t>
  </si>
  <si>
    <t>Traverse:</t>
  </si>
  <si>
    <t>Traverse Rate: (max)</t>
  </si>
  <si>
    <t>Elevation:</t>
  </si>
  <si>
    <t>Height: Over cupola MG</t>
  </si>
  <si>
    <t>Width: Over tracks</t>
  </si>
  <si>
    <t>Length: Gun forward</t>
  </si>
  <si>
    <t>Length: Gun to rear</t>
  </si>
  <si>
    <t>Length: Without gun</t>
  </si>
  <si>
    <t>Elevation Rate: (max)</t>
  </si>
  <si>
    <t>Firing Rate: (max)</t>
  </si>
  <si>
    <t>Loading System:</t>
  </si>
  <si>
    <t>Stabilizer System:</t>
  </si>
  <si>
    <t>Primary:</t>
  </si>
  <si>
    <t>Secondary:</t>
  </si>
  <si>
    <t>(1)</t>
  </si>
  <si>
    <t>(2)</t>
  </si>
  <si>
    <t>Provision for</t>
  </si>
  <si>
    <t>AMMUNITION</t>
  </si>
  <si>
    <t>FIRE CONTROL AND VISION EQUIPMENT</t>
  </si>
  <si>
    <t>Primary Weapon:</t>
  </si>
  <si>
    <t>Direct</t>
  </si>
  <si>
    <t>Indirect</t>
  </si>
  <si>
    <t>Vision Devices:</t>
  </si>
  <si>
    <t>Driver</t>
  </si>
  <si>
    <t>Commander</t>
  </si>
  <si>
    <t>Gunner</t>
  </si>
  <si>
    <t>Loader</t>
  </si>
  <si>
    <t>ENGINE</t>
  </si>
  <si>
    <t>Make and Model:</t>
  </si>
  <si>
    <t>Cooling Systen:</t>
  </si>
  <si>
    <t>Ignition:</t>
  </si>
  <si>
    <t>Displacement:</t>
  </si>
  <si>
    <t>Bore and Stroke:</t>
  </si>
  <si>
    <t>Compression Ratio:</t>
  </si>
  <si>
    <t>Net Horsepower (max):</t>
  </si>
  <si>
    <t>Gross Horsepower (max):</t>
  </si>
  <si>
    <t>Net Torque (max):</t>
  </si>
  <si>
    <t>Gross Torque (max):</t>
  </si>
  <si>
    <t>Weight:</t>
  </si>
  <si>
    <t>Fuel:</t>
  </si>
  <si>
    <t>Engine Oil:</t>
  </si>
  <si>
    <t>POWER TRAIN</t>
  </si>
  <si>
    <t>Transmission:</t>
  </si>
  <si>
    <t>Steering Control:</t>
  </si>
  <si>
    <t>Steering Rate:</t>
  </si>
  <si>
    <t>Brakes:</t>
  </si>
  <si>
    <t>Final Drive:</t>
  </si>
  <si>
    <t>Drive Sprocket:</t>
  </si>
  <si>
    <t>Pitch Diameter:</t>
  </si>
  <si>
    <t>RUNNING GEAR</t>
  </si>
  <si>
    <t>Suspension:</t>
  </si>
  <si>
    <t>Tracks:</t>
  </si>
  <si>
    <t>Types:</t>
  </si>
  <si>
    <t>Pitch:</t>
  </si>
  <si>
    <t>Shoes per Vehicle:</t>
  </si>
  <si>
    <t>Ground Contact Length:</t>
  </si>
  <si>
    <t>ELECTRICAL SYSTEM</t>
  </si>
  <si>
    <t>Nominal Voltage:</t>
  </si>
  <si>
    <t>Main Generator:</t>
  </si>
  <si>
    <t>Auxiliary Generator:</t>
  </si>
  <si>
    <t>Battery:</t>
  </si>
  <si>
    <t>COMMUNICATIONS</t>
  </si>
  <si>
    <t>Radio:</t>
  </si>
  <si>
    <t>Interphone:</t>
  </si>
  <si>
    <t>FIRE PROTECTION</t>
  </si>
  <si>
    <t>PERFORMANCE</t>
  </si>
  <si>
    <t>Maximum Tractive Effort:</t>
  </si>
  <si>
    <t>Per Cent of Vehicle Weight:</t>
  </si>
  <si>
    <t>Maximum Grade:</t>
  </si>
  <si>
    <t>Maximum Trench:</t>
  </si>
  <si>
    <t>Maximum Vertical Wall:</t>
  </si>
  <si>
    <t>Maximum Fording Depth:</t>
  </si>
  <si>
    <t>Minimum Turning Circle: (diameter)</t>
  </si>
  <si>
    <t>Cruising Range: Roads</t>
  </si>
  <si>
    <t>Length</t>
  </si>
  <si>
    <t>Width</t>
  </si>
  <si>
    <t>Height</t>
  </si>
  <si>
    <t>Passengers</t>
  </si>
  <si>
    <t>Weight Breakdown</t>
  </si>
  <si>
    <t>Crew Weight</t>
  </si>
  <si>
    <t>Passenger Weight</t>
  </si>
  <si>
    <t>Miscellaneous Weight</t>
  </si>
  <si>
    <t>Armor Weight</t>
  </si>
  <si>
    <t>Armament Weight</t>
  </si>
  <si>
    <t>Ammunition Weight</t>
  </si>
  <si>
    <t>Engine Weight</t>
  </si>
  <si>
    <t>Fuel Weight</t>
  </si>
  <si>
    <t>APU Weight</t>
  </si>
  <si>
    <t>Energy Bank Weight</t>
  </si>
  <si>
    <t>Transmission Weight</t>
  </si>
  <si>
    <t>Amphibious Equipment Weight</t>
  </si>
  <si>
    <t>Suspension Weight</t>
  </si>
  <si>
    <t>Track Weight</t>
  </si>
  <si>
    <t>Road Wheel Weight</t>
  </si>
  <si>
    <t>Structure Weight</t>
  </si>
  <si>
    <t>Cargo Payload</t>
  </si>
  <si>
    <t>Mobility and Performance Breakdown</t>
  </si>
  <si>
    <t>Engine</t>
  </si>
  <si>
    <t>Fuel Capacity</t>
  </si>
  <si>
    <t>Maximum Hull Speed (water)</t>
  </si>
  <si>
    <t>Baseline</t>
  </si>
  <si>
    <t>Applied A</t>
  </si>
  <si>
    <t>Applied A+B</t>
  </si>
  <si>
    <t>Combat Weight</t>
  </si>
  <si>
    <t>Unstowed Weight</t>
  </si>
  <si>
    <t>Growth Capability (Transmission)</t>
  </si>
  <si>
    <t>Growth Capability (Suspension)</t>
  </si>
  <si>
    <t>Ground Pressure</t>
  </si>
  <si>
    <t>Power/Weight Ratio</t>
  </si>
  <si>
    <t>Top Speed</t>
  </si>
  <si>
    <t>Operating Range</t>
  </si>
  <si>
    <t>Amphibious Performance Breakdown</t>
  </si>
  <si>
    <t>Density of Vehicle</t>
  </si>
  <si>
    <t>Vehicle Freeboard (Transiting)</t>
  </si>
  <si>
    <t>Vehicle Freeboard (Dropped In)</t>
  </si>
  <si>
    <t>Vehicle Draft (Transiting)</t>
  </si>
  <si>
    <t>Vehicle Draft (Dropped In)</t>
  </si>
  <si>
    <t>Water Speed</t>
  </si>
  <si>
    <t>Operating Range In Water</t>
  </si>
  <si>
    <t>Armament Breakdown</t>
  </si>
  <si>
    <t>Rifle Calibre MGs</t>
  </si>
  <si>
    <t>HMGs</t>
  </si>
  <si>
    <t>ATGMs</t>
  </si>
  <si>
    <t>Rifle Calibre</t>
  </si>
  <si>
    <t>HMG Calibre</t>
  </si>
  <si>
    <t>Calibre (mm)</t>
  </si>
  <si>
    <t># in Hull</t>
  </si>
  <si>
    <t># in Turret</t>
  </si>
  <si>
    <t>Rounds (hull)</t>
  </si>
  <si>
    <t>Rounds (Turret)</t>
  </si>
  <si>
    <t>Cannon/Gun 1</t>
  </si>
  <si>
    <t>Cannon/Gun 2</t>
  </si>
  <si>
    <t>Baseline Protection Levels</t>
  </si>
  <si>
    <t>KE (mm)</t>
  </si>
  <si>
    <t>HEAT (mm)</t>
  </si>
  <si>
    <t>KE Resistance</t>
  </si>
  <si>
    <t>HEAT Resistance</t>
  </si>
  <si>
    <t>Side Hull Armor</t>
  </si>
  <si>
    <t>Rear Hull Armor</t>
  </si>
  <si>
    <t>Top Hull Armor</t>
  </si>
  <si>
    <t>Hull Floor Armor</t>
  </si>
  <si>
    <t>Lower Front Hull Armor</t>
  </si>
  <si>
    <t>Glacis Armor</t>
  </si>
  <si>
    <t>Front Turret Armor</t>
  </si>
  <si>
    <t>Side Turret Armor</t>
  </si>
  <si>
    <t>Rear Turret Armor</t>
  </si>
  <si>
    <t>Top Turret Armor</t>
  </si>
  <si>
    <t>Frontal Attack</t>
  </si>
  <si>
    <t>Vehicle Hull Length</t>
  </si>
  <si>
    <t>Vehicle Hull Width</t>
  </si>
  <si>
    <t>Vehicle Hull Height</t>
  </si>
  <si>
    <t>Vehicle Ground Clearance</t>
  </si>
  <si>
    <t>Hull Split Height at</t>
  </si>
  <si>
    <t>percent</t>
  </si>
  <si>
    <t>Hull Split Height</t>
  </si>
  <si>
    <t>Distance from Hull Split to Top of Hull</t>
  </si>
  <si>
    <t>Distance from Hull Split to Bottom of Hull</t>
  </si>
  <si>
    <t>Upper Hull Top Base Length</t>
  </si>
  <si>
    <t>Angled Upper Forward Hull Length</t>
  </si>
  <si>
    <t>Angled Upper Aft Hull Length</t>
  </si>
  <si>
    <t>Upper Hull Top Base Width</t>
  </si>
  <si>
    <t>Lower Hull Bottom Base Length</t>
  </si>
  <si>
    <t>Angled Lower Forward Hull Length</t>
  </si>
  <si>
    <t>Angled Lower Aft Hull Length</t>
  </si>
  <si>
    <t>Lower Hull Bottom Base Width</t>
  </si>
  <si>
    <t>NOTE: Using a layered system with the lightest armor on the top and the densest on the bottom adds about 13% more resistance to KE</t>
  </si>
  <si>
    <t>NOTE: Encasing ceramics in a steel casing adds about 12% to KE resistance</t>
  </si>
  <si>
    <t>Volume</t>
  </si>
  <si>
    <t>Upper Volume</t>
  </si>
  <si>
    <t>Lower Volume</t>
  </si>
  <si>
    <t>Upper Front Hull Armor Design</t>
  </si>
  <si>
    <t>Overall Slope</t>
  </si>
  <si>
    <t>Degrees</t>
  </si>
  <si>
    <t>Length of Sloped Plate</t>
  </si>
  <si>
    <t>cm</t>
  </si>
  <si>
    <t>Width of Plate At Top</t>
  </si>
  <si>
    <t>Width of Plate At Bottom</t>
  </si>
  <si>
    <t>Overall Area of Plate</t>
  </si>
  <si>
    <t>cm2</t>
  </si>
  <si>
    <t>Volume Used by Armor</t>
  </si>
  <si>
    <t>m2</t>
  </si>
  <si>
    <t>Thickness (mm)</t>
  </si>
  <si>
    <t>Density (g/cm3)</t>
  </si>
  <si>
    <t>KE Efficiency</t>
  </si>
  <si>
    <t>HEAT Efficiency</t>
  </si>
  <si>
    <t>KE Equivalence</t>
  </si>
  <si>
    <t>HEAT Equivalence</t>
  </si>
  <si>
    <t>Mass of Layer (kg)</t>
  </si>
  <si>
    <t>Relikt 4S23 ERA</t>
  </si>
  <si>
    <t>Fused Sicila</t>
  </si>
  <si>
    <t>Depleted Uranium</t>
  </si>
  <si>
    <t>None</t>
  </si>
  <si>
    <t>TOTALS</t>
  </si>
  <si>
    <t>Modifier</t>
  </si>
  <si>
    <t>Lower Front Hull Armor Design</t>
  </si>
  <si>
    <t>Front Hull Armor Specs</t>
  </si>
  <si>
    <t>Area (cm2)</t>
  </si>
  <si>
    <t>Upper Plate</t>
  </si>
  <si>
    <t>Upper Hull Water Plane</t>
  </si>
  <si>
    <t>--</t>
  </si>
  <si>
    <t>Hull Lower Plate</t>
  </si>
  <si>
    <t>Lower Hull Water Plane</t>
  </si>
  <si>
    <t>total (cm2)</t>
  </si>
  <si>
    <t>mm</t>
  </si>
  <si>
    <t>Upper Side Hull Armor Design</t>
  </si>
  <si>
    <t>Armor Type</t>
  </si>
  <si>
    <t>Steltexolite</t>
  </si>
  <si>
    <t>Lower Side Hull Armor Design</t>
  </si>
  <si>
    <t>Aluminum-Honeycombed</t>
  </si>
  <si>
    <t>Armored Skirt Specs</t>
  </si>
  <si>
    <t>Total</t>
  </si>
  <si>
    <t>Side Hull Armor Specs</t>
  </si>
  <si>
    <t>Side Area (cm2)</t>
  </si>
  <si>
    <t>Averages</t>
  </si>
  <si>
    <t>Averages W/Skirt</t>
  </si>
  <si>
    <t>Side Hull Armor Weights</t>
  </si>
  <si>
    <t>Upper Rear Hull Armor Design</t>
  </si>
  <si>
    <t>m3</t>
  </si>
  <si>
    <t>Lower Rear Hull Armor Design</t>
  </si>
  <si>
    <t>Rear Hull Armor Specs</t>
  </si>
  <si>
    <t>Roof Armor Design</t>
  </si>
  <si>
    <t>Overall Dimension Length</t>
  </si>
  <si>
    <t>Overall Dimension Width</t>
  </si>
  <si>
    <t>Initial Dimension Protected</t>
  </si>
  <si>
    <t>Turret Ring Area</t>
  </si>
  <si>
    <t>Final Dimension Protected</t>
  </si>
  <si>
    <t>Total Volume Used by Armor</t>
  </si>
  <si>
    <t>Floor Armor Design</t>
  </si>
  <si>
    <t>Total Hull Armor Mass</t>
  </si>
  <si>
    <t>Front Hull Armor Weight</t>
  </si>
  <si>
    <t>Side Hull Armor Weight</t>
  </si>
  <si>
    <t>Rear Hull Armor Weight</t>
  </si>
  <si>
    <t>Roof Hull Armor Weight</t>
  </si>
  <si>
    <t>Floor Hull Armor Weight</t>
  </si>
  <si>
    <t>Number of Crew In Hull</t>
  </si>
  <si>
    <t>men</t>
  </si>
  <si>
    <t>Number of Passengers In Hull</t>
  </si>
  <si>
    <t>Crew Mass + Amenities</t>
  </si>
  <si>
    <t>kg</t>
  </si>
  <si>
    <t>Passenger Mass + Amenities</t>
  </si>
  <si>
    <t>Total Mass of Personnel</t>
  </si>
  <si>
    <t>Volume of Personnel</t>
  </si>
  <si>
    <t>Mass of Ammunition in Hull</t>
  </si>
  <si>
    <t>Mass of Weapons in Hull</t>
  </si>
  <si>
    <t>Hull Internal Volume (Maximum Available)</t>
  </si>
  <si>
    <t>Hull Internal Volume Used Up By Armor</t>
  </si>
  <si>
    <t>Hull Internal Volume (Actually Available)</t>
  </si>
  <si>
    <t>Hull Internal Volume Used up by Personnel</t>
  </si>
  <si>
    <t>Hull Internal Volume Used Up By Fuel</t>
  </si>
  <si>
    <t>Hull Internal Volume Used Up By Engine</t>
  </si>
  <si>
    <t>Hull Internal Volume Used Up By Transmission</t>
  </si>
  <si>
    <t>Hull Internal Volume Used up by Turret Basket</t>
  </si>
  <si>
    <t>Hull Internal Volume Used Up By Ammunition</t>
  </si>
  <si>
    <t>Hull Internal Volume Used Up by Weapons</t>
  </si>
  <si>
    <t>Hull Internal Volume Left Free</t>
  </si>
  <si>
    <t>Front Armor</t>
  </si>
  <si>
    <t>Triangle Height</t>
  </si>
  <si>
    <t>Angle</t>
  </si>
  <si>
    <t>rads</t>
  </si>
  <si>
    <t>m</t>
  </si>
  <si>
    <t>Sine</t>
  </si>
  <si>
    <t>Tangent</t>
  </si>
  <si>
    <t>Base Taken</t>
  </si>
  <si>
    <t>Sloped Length</t>
  </si>
  <si>
    <t>in/cm</t>
  </si>
  <si>
    <t>in</t>
  </si>
  <si>
    <t>ft/m</t>
  </si>
  <si>
    <t>Penetration Chart HEAT</t>
  </si>
  <si>
    <t>Penetratable by Virtually Anything</t>
  </si>
  <si>
    <t>Resistant to Bazooka</t>
  </si>
  <si>
    <t>Resistant to Super Bazooka</t>
  </si>
  <si>
    <t>Resistant to RPG-7V</t>
  </si>
  <si>
    <t>Resistant to ITOW</t>
  </si>
  <si>
    <t>Resistant to TOW 2A</t>
  </si>
  <si>
    <t>Resistant to 9M133 Kornet</t>
  </si>
  <si>
    <t>Resistant to 9M123 Khrizantema</t>
  </si>
  <si>
    <t>Penetration Chart KE</t>
  </si>
  <si>
    <t>Resistant to 5.56</t>
  </si>
  <si>
    <t>Resistant to 7.62</t>
  </si>
  <si>
    <t>Resistant to 12.7mm API at 500m</t>
  </si>
  <si>
    <t>Resistant to 12.7</t>
  </si>
  <si>
    <t>Resistant to 20x110mm Hispano</t>
  </si>
  <si>
    <t>Resistant to 20mm APDS DM-63 at 1 km</t>
  </si>
  <si>
    <t>Resistant to Soviet 30x210mm M53</t>
  </si>
  <si>
    <t>Resistant to 40mm L70 M56 AP</t>
  </si>
  <si>
    <t>Resistant to Oerlikon 25mm tungsten APFSDS at 2km</t>
  </si>
  <si>
    <t>Resistant to US 25mm</t>
  </si>
  <si>
    <t>Resistant to Oerlikon 30mm APFSDS at 1km</t>
  </si>
  <si>
    <t>Resistant to Bofors 40mm L70 APFSDS</t>
  </si>
  <si>
    <t>Resistant to Soviet 57mm BR-271P HVAP at 500m</t>
  </si>
  <si>
    <t>Resistant to US 76mm M464 APFSDS (Bulldog) at 2km</t>
  </si>
  <si>
    <t>Resistant to US M392/German DM13 105mm APDS at 1km (1960)</t>
  </si>
  <si>
    <t>Resistant to US 90mm T119 (T41) APDS at 914m</t>
  </si>
  <si>
    <t>Resitant to Mecar M-1000 100mm APFSDS at 2km (1996)</t>
  </si>
  <si>
    <t>Resistant to German DM-63/Israeli M426 'Hetz 10'/Sth Afr FS Mk4 Imp. 105mm tungsten at 2km (early 1990s)</t>
  </si>
  <si>
    <t>Resistant to Indian T-2 125mm tungsten at 2km (1997)</t>
  </si>
  <si>
    <t>Resistant to Polish Pronit 125mm tungsten at 2km (2001)</t>
  </si>
  <si>
    <t>Resistant to Chinese Type-95 105mm DU at 2km (from "long" Type-83A 105mm)</t>
  </si>
  <si>
    <t>Resistant to Israeli/Chinese Type-IIM (new) 125mm at 2km</t>
  </si>
  <si>
    <t>Resistant to Russian 125mm BM-42M "Lekalo" tungsten at 2km (200X)</t>
  </si>
  <si>
    <t>Resistant to UK Charm-3 L-27 APFSDS 120mm DU at 2km (1999)</t>
  </si>
  <si>
    <t>Resistant to German 120mm/L55 DM-63 tungsten at 2km (2006)</t>
  </si>
  <si>
    <t>Resistant to UK L-28 120mm APFSDS at 2km (200X)</t>
  </si>
  <si>
    <t>Resistant to US M829A3 120mm DU at 2km (2003)</t>
  </si>
  <si>
    <t>Resistant to All Modern 120mm</t>
  </si>
  <si>
    <t>Resistant to Type-99 125mm/L51 APFSDS tungsten at 2km</t>
  </si>
  <si>
    <t>Resistant to Type-99 125mm/L51 APFSDS DU at 2km</t>
  </si>
  <si>
    <t>Calibre(mm)</t>
  </si>
  <si>
    <t>Weight (Breech) SS (kg)</t>
  </si>
  <si>
    <t>Weight (Breech) Auto (kg)</t>
  </si>
  <si>
    <t>Length and Width (m)</t>
  </si>
  <si>
    <t>Volume (m3) SS</t>
  </si>
  <si>
    <t>Volume (m3) Auto</t>
  </si>
  <si>
    <t>Non Planing</t>
  </si>
  <si>
    <t>Planing</t>
  </si>
  <si>
    <t>Cartridge Wall Material</t>
  </si>
  <si>
    <t>density (g/cm3)</t>
  </si>
  <si>
    <t>Aluminum</t>
  </si>
  <si>
    <t>Brass</t>
  </si>
  <si>
    <t>Combustible Plastic</t>
  </si>
  <si>
    <t>Steel</t>
  </si>
  <si>
    <t>Transmission Types</t>
  </si>
  <si>
    <t>kg/kw</t>
  </si>
  <si>
    <t>Max Weight</t>
  </si>
  <si>
    <t>Electric Transmission</t>
  </si>
  <si>
    <t>ENC 200</t>
  </si>
  <si>
    <t>ESM 500 (Leclerc)</t>
  </si>
  <si>
    <t>HMPT-1000HP</t>
  </si>
  <si>
    <t>HMPT-1500HP</t>
  </si>
  <si>
    <t>HMPT-500HP (M2, M8 Greyhound)</t>
  </si>
  <si>
    <t>HMPT-800HP</t>
  </si>
  <si>
    <t>HSWL 096 (BMP-3 IFV)</t>
  </si>
  <si>
    <t>HSWL 106</t>
  </si>
  <si>
    <t>HSWL 194</t>
  </si>
  <si>
    <t>HSWL 204 (TAM)</t>
  </si>
  <si>
    <t>HSWL 224 (AMX 32)</t>
  </si>
  <si>
    <t>HSWL 284C (PzH 2000)</t>
  </si>
  <si>
    <t>Forward-mounted</t>
  </si>
  <si>
    <t>HSWL 295 (Leclerc)</t>
  </si>
  <si>
    <t>HSWL 354 (Leopard 2A6)</t>
  </si>
  <si>
    <t>LSG 1500 (Dardo)</t>
  </si>
  <si>
    <t>LSG 3000 (AMX 30 EM2, K1, Ariete)</t>
  </si>
  <si>
    <t>Reko 606</t>
  </si>
  <si>
    <t>RK 304S (Arjun, M60, Centurion)</t>
  </si>
  <si>
    <t>T-72 Transmission</t>
  </si>
  <si>
    <t>TN54 (Challenger 2)</t>
  </si>
  <si>
    <t>X-1100-3B (M1A2)</t>
  </si>
  <si>
    <t>TE (KE)</t>
  </si>
  <si>
    <t>TE (HEAT)</t>
  </si>
  <si>
    <t>Air</t>
  </si>
  <si>
    <t>Found in Void Spaces</t>
  </si>
  <si>
    <t>Ceramics-Alumina</t>
  </si>
  <si>
    <t>Chobham</t>
  </si>
  <si>
    <t>Ceramic-like Glass</t>
  </si>
  <si>
    <t>Expensive</t>
  </si>
  <si>
    <t>Konkat-5 4S22 ERA</t>
  </si>
  <si>
    <t>Must be 70mm Thick</t>
  </si>
  <si>
    <t>Approx. Konkat-5 ERA</t>
  </si>
  <si>
    <t>Mild Steel</t>
  </si>
  <si>
    <t>Max Thickess Several cm</t>
  </si>
  <si>
    <t>NERA-Rubber</t>
  </si>
  <si>
    <t>Must be Thick</t>
  </si>
  <si>
    <t>Must be 30mm Thick</t>
  </si>
  <si>
    <t>Reported: Thinner Than K-5, + 1.6x K-5 APFSDS, +2x K-5 HEAT, ~ +853mm KE, ~ +1056 CE</t>
  </si>
  <si>
    <t>RHA-Perforated</t>
  </si>
  <si>
    <t>RHA-Rolled</t>
  </si>
  <si>
    <t>Titanium</t>
  </si>
  <si>
    <t>Water</t>
  </si>
  <si>
    <t>Engine Type</t>
  </si>
  <si>
    <t>(kg/kw)</t>
  </si>
  <si>
    <t>(kW/m3)</t>
  </si>
  <si>
    <t>(grams per kWH)</t>
  </si>
  <si>
    <t>ATG LV100-5 Gas Turbine (Re-engined M1A2)</t>
  </si>
  <si>
    <t>ATG-1500 Gas Turbine (M1 Abram)</t>
  </si>
  <si>
    <t>German MB MT873 Ka 501 Diesel (Leopard 2)</t>
  </si>
  <si>
    <t>German MB MT883 (Europack) Diesel (Leopard 2)</t>
  </si>
  <si>
    <t>German MB MT890 V12 Diesel</t>
  </si>
  <si>
    <t>GTD-1250 Gas Turbine (T-80U)</t>
  </si>
  <si>
    <t>GURPS Late TL05 (1850s-1900s) Gasoline Engine</t>
  </si>
  <si>
    <t>GURPS TL05 (1700-1900) Early Steam</t>
  </si>
  <si>
    <t>GURPS TL05 (1700-1900) Forced Draft Steam</t>
  </si>
  <si>
    <t>GURPS TL05 (1700-1900) Triple Expansion Steam</t>
  </si>
  <si>
    <t>GURPS TL06 (1900-1950) Diesel Engine</t>
  </si>
  <si>
    <t>GURPS TL06 (1900-1950) Gasoline Engine</t>
  </si>
  <si>
    <t>GURPS TL06 (1900-1950) Steam Turbine</t>
  </si>
  <si>
    <t>GURPS TL07 (1951-2000) Fission Plant</t>
  </si>
  <si>
    <t>GURPS TL07 (1951-2000) Steam Turbine</t>
  </si>
  <si>
    <t>GURPS TL09 (2050 and beyond) Fusion Plant</t>
  </si>
  <si>
    <t>GURPS TL11 (Interstellar) Antimatter Plant</t>
  </si>
  <si>
    <t>Modern Nuclear RTGs (Galileo Space Probe)</t>
  </si>
  <si>
    <t>Nuclear Gas Turbine (Shielding and fuel included)</t>
  </si>
  <si>
    <t>Nuclear PWR Plant (Fuel plus Shielding)</t>
  </si>
  <si>
    <t>PEM Fuel Cell (1997)</t>
  </si>
  <si>
    <t>Energy Bank Type</t>
  </si>
  <si>
    <t>kg/kwh</t>
  </si>
  <si>
    <t>kwh/m3</t>
  </si>
  <si>
    <t>GURPS TL4 (1450-1700) Clockwork</t>
  </si>
  <si>
    <t>GURPS TL5 (1700-1900) Lead Acid Battery</t>
  </si>
  <si>
    <t>GURPS TL6 (1900-1950) Flywheel</t>
  </si>
  <si>
    <t>GURPS TL6 (1900-1950) Lead Acid Battery</t>
  </si>
  <si>
    <t>GURPS TL7 (1951-2000) Advanced Battery</t>
  </si>
  <si>
    <t>GURPS TL7 (1951-2000) Flywheel</t>
  </si>
  <si>
    <t>GURPS TL7+ (1951-2000) Lead Acid Battery</t>
  </si>
  <si>
    <t>Fuel Type</t>
  </si>
  <si>
    <t>Area (kg/m3)</t>
  </si>
  <si>
    <t>Density (kg/gallon)</t>
  </si>
  <si>
    <t>Diesel</t>
  </si>
  <si>
    <t>Gasoline</t>
  </si>
  <si>
    <t>JET A</t>
  </si>
  <si>
    <t>Type of Propellant</t>
  </si>
  <si>
    <t>Accel</t>
  </si>
  <si>
    <t>Auto Accel</t>
  </si>
  <si>
    <t>Max Velocity (M/sec)</t>
  </si>
  <si>
    <t>Joules/Gram</t>
  </si>
  <si>
    <t>Joules/cm3</t>
  </si>
  <si>
    <t>BAMO</t>
  </si>
  <si>
    <t>Conventional Propellant (JA-2)</t>
  </si>
  <si>
    <t>DANPE</t>
  </si>
  <si>
    <t>Fast Burning PAP-8194BB</t>
  </si>
  <si>
    <t>Liquid/ETC Propellant</t>
  </si>
  <si>
    <t>n-Bu-NENA</t>
  </si>
  <si>
    <t>NC-6</t>
  </si>
  <si>
    <t>Railgun</t>
  </si>
  <si>
    <t>Rockwell Ultra-High Energy Gun Propellant F-6</t>
  </si>
  <si>
    <t>Rockwell Ultra-High Energy Gun Propellant F-6 High LD</t>
  </si>
  <si>
    <t>TDG23</t>
  </si>
  <si>
    <t>TDG24</t>
  </si>
  <si>
    <t>TDG24 High LD</t>
  </si>
  <si>
    <t>Projectile Type</t>
  </si>
  <si>
    <t>width modifier</t>
  </si>
  <si>
    <t>M/S/Km Loss</t>
  </si>
  <si>
    <t>Joules to Pen 1 mm</t>
  </si>
  <si>
    <t>Armor Piercing, Capped (Autocannons)</t>
  </si>
  <si>
    <t>Armor Piercing, Capped (Large Caliber)</t>
  </si>
  <si>
    <t>HVAP (Autocannons)</t>
  </si>
  <si>
    <t>HVAP (Large Caliber)</t>
  </si>
  <si>
    <t>Modern Sabot (Autocannons)</t>
  </si>
  <si>
    <t>Modern Sabot (Large Caliber)</t>
  </si>
  <si>
    <t>Type of Cartridge</t>
  </si>
  <si>
    <t>Projectile Length Mod</t>
  </si>
  <si>
    <t>Conventional Cartridge</t>
  </si>
  <si>
    <t>Liquid/Railgun Round</t>
  </si>
  <si>
    <t>Partially Telescoped Cartridge</t>
  </si>
  <si>
    <t>Track Type</t>
  </si>
  <si>
    <t>Weight (kg/m2)</t>
  </si>
  <si>
    <t>13-20 Ton Vehicle Band</t>
  </si>
  <si>
    <t>13-20 Ton Vehicle Conventional</t>
  </si>
  <si>
    <t>20 Ton Diehl Band Track</t>
  </si>
  <si>
    <t>30-40 Ton Vehicle Band</t>
  </si>
  <si>
    <t>30-40 Ton Vehicle Conventional</t>
  </si>
  <si>
    <t>50-70 Diehl Lightweight Tracks</t>
  </si>
  <si>
    <t>50-70 Ton Vehicle Band</t>
  </si>
  <si>
    <t>50-70 Ton Vehicle Conventional</t>
  </si>
  <si>
    <t>80-100 Diehl Lightweight Tracks</t>
  </si>
  <si>
    <t>80-100 Ton Vehicle Band</t>
  </si>
  <si>
    <t>80-100 Ton Vehicle Conventional</t>
  </si>
  <si>
    <t>Suspensions</t>
  </si>
  <si>
    <t>kg/susp/kg</t>
  </si>
  <si>
    <t>max capacity (kg)</t>
  </si>
  <si>
    <t>2866 External Suspension (M60)</t>
  </si>
  <si>
    <t>2869 External Suspension (Centurion)</t>
  </si>
  <si>
    <t>3870 Static External Suspension (Crusader)</t>
  </si>
  <si>
    <t>Lockout, Height Control, Adaptive Damping</t>
  </si>
  <si>
    <t>Advanced Hybrid Electric-Wheel Drive</t>
  </si>
  <si>
    <t>weight TBA: Active</t>
  </si>
  <si>
    <t>EFV External Retracting Suspension (M2)</t>
  </si>
  <si>
    <t>Retraction, Adaptive Damping</t>
  </si>
  <si>
    <t>Modern In Arm Suspension System</t>
  </si>
  <si>
    <t>RST-V Folding Wheeled Suspension</t>
  </si>
  <si>
    <t>Active, Folding</t>
  </si>
  <si>
    <t>WWII Era Suspension?</t>
  </si>
  <si>
    <t>Road Wheel Types</t>
  </si>
  <si>
    <t>Ratio</t>
  </si>
  <si>
    <t>Medium Wheels (Centurion, Panther)</t>
  </si>
  <si>
    <t>Small Wheels (Sherman, Abrams)</t>
  </si>
  <si>
    <t>Road Wheel Materials</t>
  </si>
  <si>
    <t>g/cm3</t>
  </si>
  <si>
    <t>Gun Type</t>
  </si>
  <si>
    <t>Weight (kg)</t>
  </si>
  <si>
    <t>Volume (m3)</t>
  </si>
  <si>
    <t>5.56mm M249</t>
  </si>
  <si>
    <t>7.62mm M240</t>
  </si>
  <si>
    <t>12.7mm M2 Browning</t>
  </si>
  <si>
    <t>Ammunition Datas</t>
  </si>
  <si>
    <t>Man Portable ATGM</t>
  </si>
  <si>
    <t>5.56mm Cartridge</t>
  </si>
  <si>
    <t>(840 rd Can)</t>
  </si>
  <si>
    <t>7.62mm Cartridge</t>
  </si>
  <si>
    <t>(400 rd Can)</t>
  </si>
  <si>
    <t>12.7mm Cartridge</t>
  </si>
  <si>
    <t>(100 rd Can)</t>
  </si>
  <si>
    <t>Ammunition Can (Standard)</t>
  </si>
  <si>
    <t>Resists corrosion</t>
  </si>
  <si>
    <t>LOS Thickness</t>
  </si>
  <si>
    <t>Armor Modifier</t>
  </si>
  <si>
    <t>Effective Thickness</t>
  </si>
  <si>
    <t>LOS</t>
  </si>
  <si>
    <t>cos(rad)</t>
  </si>
  <si>
    <t>KE Mod</t>
  </si>
  <si>
    <t>HEAT Mod</t>
  </si>
  <si>
    <t>in2</t>
  </si>
  <si>
    <t>ft3</t>
  </si>
  <si>
    <t>mT</t>
  </si>
  <si>
    <t>Side Armor</t>
  </si>
  <si>
    <t>Length of Plate At Top</t>
  </si>
  <si>
    <t>Length of Plate At Bottom</t>
  </si>
  <si>
    <t>Skirt Height</t>
  </si>
  <si>
    <t>Lower Plate</t>
  </si>
  <si>
    <t>Total (cm2)</t>
  </si>
  <si>
    <t>Suspension Mechanism</t>
  </si>
  <si>
    <t>Maximum Vehicle Weight Envisioned</t>
  </si>
  <si>
    <t>Max Capacity per Wheel</t>
  </si>
  <si>
    <t>Suspension Type Desired</t>
  </si>
  <si>
    <t>Road Wheel Design</t>
  </si>
  <si>
    <t>Road Wheel Material Type</t>
  </si>
  <si>
    <t>Road Wheel Height</t>
  </si>
  <si>
    <t>Rows of Road Wheels Per Track</t>
  </si>
  <si>
    <t>road wheels</t>
  </si>
  <si>
    <t>Thickness of Road Wheels</t>
  </si>
  <si>
    <t>Volume of One Road Wheel</t>
  </si>
  <si>
    <t>cm3</t>
  </si>
  <si>
    <t>Weight of One Road Wheel</t>
  </si>
  <si>
    <t>Weight of All Road Wheels</t>
  </si>
  <si>
    <t>Track Design</t>
  </si>
  <si>
    <t>Ground Pressure Desired</t>
  </si>
  <si>
    <t>PSI</t>
  </si>
  <si>
    <t>kg/cm2</t>
  </si>
  <si>
    <t>Ground Track Area Needed</t>
  </si>
  <si>
    <t>Number of Tracks</t>
  </si>
  <si>
    <t>Track Width</t>
  </si>
  <si>
    <t>millimeters</t>
  </si>
  <si>
    <t>Type of Track</t>
  </si>
  <si>
    <t>Track Length</t>
  </si>
  <si>
    <t>Total Ground Track Area Available</t>
  </si>
  <si>
    <t>Total Track Area</t>
  </si>
  <si>
    <t>Total Track Weights</t>
  </si>
  <si>
    <t>Number of Required Wheels</t>
  </si>
  <si>
    <t>Number of Road Wheels</t>
  </si>
  <si>
    <t>Maximum Number of Road Wheels per Track</t>
  </si>
  <si>
    <t>cos(rads)</t>
  </si>
  <si>
    <t>Rear Armor</t>
  </si>
  <si>
    <t>Turret Ring Diameter</t>
  </si>
  <si>
    <t>Turret Basket (depth)</t>
  </si>
  <si>
    <t>inches</t>
  </si>
  <si>
    <t>Turret Width (Base)</t>
  </si>
  <si>
    <t>Turret Width (Top Plate)</t>
  </si>
  <si>
    <t>Turret Height</t>
  </si>
  <si>
    <t>Turret Length</t>
  </si>
  <si>
    <t>Turret Length (Top Plate)</t>
  </si>
  <si>
    <t>Less Turret Length (Fwd)</t>
  </si>
  <si>
    <t>Less Turret Length (Rear)</t>
  </si>
  <si>
    <t>Front Turret Armor Design</t>
  </si>
  <si>
    <t>Slope of Armor</t>
  </si>
  <si>
    <t>Side Turret Armor Design</t>
  </si>
  <si>
    <t>Overall Area of Plate(s)</t>
  </si>
  <si>
    <t>Volume Used By Armor on these Plate(s)</t>
  </si>
  <si>
    <t>Rear Turret Armor Design</t>
  </si>
  <si>
    <t>Volume Used By Armor on This Plate</t>
  </si>
  <si>
    <t>Frontal KE Equiv.</t>
  </si>
  <si>
    <t>Total Turret Armor Mass</t>
  </si>
  <si>
    <t>Turret Weapon Mass</t>
  </si>
  <si>
    <t>Turret Stowed Ammunition Mass</t>
  </si>
  <si>
    <t>Total Turret Mass</t>
  </si>
  <si>
    <t>Number of Crew In Turret</t>
  </si>
  <si>
    <t>Crew Volume</t>
  </si>
  <si>
    <t>Turret Internal Volume (Maximum Available)</t>
  </si>
  <si>
    <t>Turret Internal Volume Used Up By Armor</t>
  </si>
  <si>
    <t>Turret Basket Volume</t>
  </si>
  <si>
    <t>Turret Internal Volume (Actually Available)</t>
  </si>
  <si>
    <t>Turret Internal Volume Used up by Personnel</t>
  </si>
  <si>
    <t>Turret Internal Volume Used Up By Ammunition</t>
  </si>
  <si>
    <t>Turret Internal Volume Used Up by Weapons</t>
  </si>
  <si>
    <t>Turret Internal Volume Left Free</t>
  </si>
  <si>
    <t>Forward Overhang</t>
  </si>
  <si>
    <t>Upper Height</t>
  </si>
  <si>
    <t>Lower Height</t>
  </si>
  <si>
    <t>Cosine</t>
  </si>
  <si>
    <t>Base</t>
  </si>
  <si>
    <t>Side Overhang</t>
  </si>
  <si>
    <t>Frontal KE</t>
  </si>
  <si>
    <t>Frontal HEAT</t>
  </si>
  <si>
    <t>Rear KE Equiv.</t>
  </si>
  <si>
    <t>Rear HEAT Eq.</t>
  </si>
  <si>
    <t>Rear Side Slope</t>
  </si>
  <si>
    <t>Forward Side Slope</t>
  </si>
  <si>
    <t>Rear Overhang</t>
  </si>
  <si>
    <t>REAR</t>
  </si>
  <si>
    <t>FORWARD</t>
  </si>
  <si>
    <t>Roof Armor</t>
  </si>
  <si>
    <t>Turret Width (Top Plate) Forward</t>
  </si>
  <si>
    <t>Turret Width (Top Plate) Rear</t>
  </si>
  <si>
    <t>Split from Front</t>
  </si>
  <si>
    <t>Length of Plate At Top Forward</t>
  </si>
  <si>
    <t>Length of Plate At Top Rear</t>
  </si>
  <si>
    <t>Length of the Plate at Bottom Forward</t>
  </si>
  <si>
    <t>Length of Plate At Bottom Rear</t>
  </si>
  <si>
    <t>Turret Width (Top Plate) Middle</t>
  </si>
  <si>
    <t>Turret Length(Top Plate) Rear</t>
  </si>
  <si>
    <t>Turret Length (Top Plate) Forward</t>
  </si>
  <si>
    <t>Fwd Angle</t>
  </si>
  <si>
    <t>Rear Angle</t>
  </si>
  <si>
    <t>Forward Area of Plate</t>
  </si>
  <si>
    <t>Rear Area of Plate</t>
  </si>
  <si>
    <t>Rear KE</t>
  </si>
  <si>
    <t>Rear HEAT</t>
  </si>
  <si>
    <t>Light Weapons</t>
  </si>
  <si>
    <t>5.56mm Class MG</t>
  </si>
  <si>
    <t>7.62mm Class MG</t>
  </si>
  <si>
    <t>12.7mm Class HMG</t>
  </si>
  <si>
    <t>Rifle Caliber MGs</t>
  </si>
  <si>
    <t>Weapon Volumes (m3)</t>
  </si>
  <si>
    <t>Light Weapons Stowed Ammo</t>
  </si>
  <si>
    <t>Heavy ATGM</t>
  </si>
  <si>
    <t>missiles</t>
  </si>
  <si>
    <t>5.56mm Class Ammunition</t>
  </si>
  <si>
    <t>rounds</t>
  </si>
  <si>
    <t>7.62mm Class Ammunition</t>
  </si>
  <si>
    <t>12.7mm Class Ammunition</t>
  </si>
  <si>
    <t>Ammunition Weights (kg)</t>
  </si>
  <si>
    <t>Ammunition Volumes (m3)</t>
  </si>
  <si>
    <t>Rifle Caliber MG Rounds</t>
  </si>
  <si>
    <t>Cannon/Gun Type One</t>
  </si>
  <si>
    <t>Number Carried</t>
  </si>
  <si>
    <t>weapons</t>
  </si>
  <si>
    <t>Size of Weapon</t>
  </si>
  <si>
    <t>Weight of Modern Sabot Round</t>
  </si>
  <si>
    <t>Weight of HE Round + Old AP</t>
  </si>
  <si>
    <t>Projectile Weight</t>
  </si>
  <si>
    <t>fps</t>
  </si>
  <si>
    <t>m/sec</t>
  </si>
  <si>
    <t>energy (MJ)</t>
  </si>
  <si>
    <t>RelEnergy</t>
  </si>
  <si>
    <t>calibers</t>
  </si>
  <si>
    <t>Rate of Fire</t>
  </si>
  <si>
    <t>RPM</t>
  </si>
  <si>
    <t>RPS</t>
  </si>
  <si>
    <t>Extra Newtons</t>
  </si>
  <si>
    <t>Acceleration</t>
  </si>
  <si>
    <t>Length of Recoil</t>
  </si>
  <si>
    <t>Efficiency of Muzzle Brake</t>
  </si>
  <si>
    <t>Outer Barrel Dim (mm)</t>
  </si>
  <si>
    <t>Length Bbl</t>
  </si>
  <si>
    <t>Outer Vol</t>
  </si>
  <si>
    <t>Inner Vol</t>
  </si>
  <si>
    <t>Final Vol</t>
  </si>
  <si>
    <t>Barrel Dimensions</t>
  </si>
  <si>
    <t>Barrel Weight</t>
  </si>
  <si>
    <t>Breech Weight</t>
  </si>
  <si>
    <t>Total Weapon Weight</t>
  </si>
  <si>
    <t>Gun Barrel Initial Velocity</t>
  </si>
  <si>
    <t>AerMet-310</t>
  </si>
  <si>
    <t>Gun Barrel Initial KE</t>
  </si>
  <si>
    <t>Gun Barrel Muzzle Brake KE Bleed</t>
  </si>
  <si>
    <t>Gun Barrel Final KE</t>
  </si>
  <si>
    <t>Force of Deceleration</t>
  </si>
  <si>
    <t>kN</t>
  </si>
  <si>
    <t>Recoil System Weight</t>
  </si>
  <si>
    <t>Recoil System Volume</t>
  </si>
  <si>
    <t>AerMet-100</t>
  </si>
  <si>
    <t>AerMet-340</t>
  </si>
  <si>
    <t>Total Weapon Volume</t>
  </si>
  <si>
    <t>Eglin (ES-1)</t>
  </si>
  <si>
    <t>Eglin (ES-5)</t>
  </si>
  <si>
    <t>Total Weight Used by These Guns/Cannon</t>
  </si>
  <si>
    <t>Total Volume Used by These Guns/Cannon</t>
  </si>
  <si>
    <t>Bursts Stowed</t>
  </si>
  <si>
    <t>Bursts</t>
  </si>
  <si>
    <t>Rounds needed</t>
  </si>
  <si>
    <t>Rounds Carried for Weapon</t>
  </si>
  <si>
    <t>Layout of Cartridge</t>
  </si>
  <si>
    <t>Cartridge Case Material</t>
  </si>
  <si>
    <t>Propellant Weight</t>
  </si>
  <si>
    <t>Case Weight</t>
  </si>
  <si>
    <t>Round Total Mass</t>
  </si>
  <si>
    <t>Case Volume cm3</t>
  </si>
  <si>
    <t>Case Area cm2</t>
  </si>
  <si>
    <t>Round Overall Diameter</t>
  </si>
  <si>
    <t>case Radius</t>
  </si>
  <si>
    <t>Projectile Overall Length</t>
  </si>
  <si>
    <t>Case Length</t>
  </si>
  <si>
    <t>Propellant Overall Length</t>
  </si>
  <si>
    <t>cm3 needed</t>
  </si>
  <si>
    <t>Round Overall Length</t>
  </si>
  <si>
    <t>Round Overall Volume to Stow</t>
  </si>
  <si>
    <t>Volume for Total Rounds Carried</t>
  </si>
  <si>
    <t>Weight of Ammo</t>
  </si>
  <si>
    <t>Automatic Weapon?</t>
  </si>
  <si>
    <t>Calibre of Weapon</t>
  </si>
  <si>
    <t>Projectile Muzzle Velocity Produced</t>
  </si>
  <si>
    <t>Rotating Turret?</t>
  </si>
  <si>
    <t>Turret Type</t>
  </si>
  <si>
    <t>Weight Modifier</t>
  </si>
  <si>
    <t>Space Modifier</t>
  </si>
  <si>
    <t>Superstructure</t>
  </si>
  <si>
    <t>360 Rotating</t>
  </si>
  <si>
    <t>Gimbal</t>
  </si>
  <si>
    <t>Total Turret Structure Mass</t>
  </si>
  <si>
    <t>Barrel Material</t>
  </si>
  <si>
    <t>SuperAlloy</t>
  </si>
  <si>
    <t>Regular</t>
  </si>
  <si>
    <t>Barrel General Material Density</t>
  </si>
  <si>
    <t>Fire Out-Of-Battery</t>
  </si>
  <si>
    <t>Battery Position</t>
  </si>
  <si>
    <t>Chamber System</t>
  </si>
  <si>
    <t>Low-High Propulsion</t>
  </si>
  <si>
    <t>Conventional</t>
  </si>
  <si>
    <t>Recoil Modifier</t>
  </si>
  <si>
    <t>J</t>
  </si>
  <si>
    <t>KE Equiv.</t>
  </si>
  <si>
    <t>HEAT Equiv.</t>
  </si>
  <si>
    <t>Basket Modifier</t>
  </si>
  <si>
    <t>Collective NBC System Design</t>
  </si>
  <si>
    <t>Available Internal Volume (Turret)</t>
  </si>
  <si>
    <t>Available Internal Volume (hull)</t>
  </si>
  <si>
    <t>Total Internal Volume</t>
  </si>
  <si>
    <t>Air Changes Per Hour</t>
  </si>
  <si>
    <t>ACH</t>
  </si>
  <si>
    <t>Perfect Airflow Needed</t>
  </si>
  <si>
    <t>Real World Airflow Needed</t>
  </si>
  <si>
    <t>Mass Efficiency of NBC Unit</t>
  </si>
  <si>
    <t>Volume Efficiency of NBC Unit</t>
  </si>
  <si>
    <t>NBC Unit Volume</t>
  </si>
  <si>
    <t>NBC Unit Mass</t>
  </si>
  <si>
    <t>Does it have Advanced C3I Systems?</t>
  </si>
  <si>
    <t>Volume used up by C3I</t>
  </si>
  <si>
    <t>Mass Used up by C3I</t>
  </si>
  <si>
    <t>Does each crew member have one?</t>
  </si>
  <si>
    <t>Total Mass used up by C3I</t>
  </si>
  <si>
    <t>Are all vehicle periscopes Thermal Sight equipped?</t>
  </si>
  <si>
    <t>Mass Used up by Scopes</t>
  </si>
  <si>
    <t>Number of CITVs on vehicle</t>
  </si>
  <si>
    <t>Mass of CITVs</t>
  </si>
  <si>
    <t>Total Volume used up by Miscellaneous Equipment</t>
  </si>
  <si>
    <t>Total Mass used up by Miscellaneous Equipment</t>
  </si>
  <si>
    <t>m/s (midpoint)</t>
  </si>
  <si>
    <t>m/s</t>
  </si>
  <si>
    <t>Total Volume Used by C31 (Turret)</t>
  </si>
  <si>
    <t>Total Volume used up by C3I (Hull)</t>
  </si>
  <si>
    <t>Hull Internal Volume Used Up by Misc</t>
  </si>
  <si>
    <t>Turret Internal Volume Used Up by Misc</t>
  </si>
  <si>
    <t>Track Weight Modifier</t>
  </si>
  <si>
    <t>Live</t>
  </si>
  <si>
    <t>Dead</t>
  </si>
  <si>
    <t>Engine Design</t>
  </si>
  <si>
    <t>Tracked Vehicle Weight</t>
  </si>
  <si>
    <t>Weight of Vehicle Desired</t>
  </si>
  <si>
    <t>HP/Ton Ratio Desired</t>
  </si>
  <si>
    <t>Minimum Engine Output Needed</t>
  </si>
  <si>
    <t>Engine Output Desired (hp)</t>
  </si>
  <si>
    <t>Engine Type Utilized</t>
  </si>
  <si>
    <t>kw/m3</t>
  </si>
  <si>
    <t>g/kw/h</t>
  </si>
  <si>
    <t>kw</t>
  </si>
  <si>
    <t>Main Engine</t>
  </si>
  <si>
    <t>Engine Mass</t>
  </si>
  <si>
    <t>Engine Volume</t>
  </si>
  <si>
    <t>APU Output Desired (kw)</t>
  </si>
  <si>
    <t>APU</t>
  </si>
  <si>
    <t>Gallons of Fuel Desired</t>
  </si>
  <si>
    <t>Fuel Type 1</t>
  </si>
  <si>
    <t>Fuel Type 2</t>
  </si>
  <si>
    <t>Fuel Type 3</t>
  </si>
  <si>
    <t>Total Gallons</t>
  </si>
  <si>
    <t>Energy Bank</t>
  </si>
  <si>
    <t>Kilowatt-Hours Desired</t>
  </si>
  <si>
    <t>Energy Bank Type 1</t>
  </si>
  <si>
    <t>Energy Bank Type 2</t>
  </si>
  <si>
    <t>Energy Bank Type 3</t>
  </si>
  <si>
    <t>Transmission Design</t>
  </si>
  <si>
    <t>Transmission Type</t>
  </si>
  <si>
    <t>Minimum Transmission Weight Needed</t>
  </si>
  <si>
    <t>Manual Transmission Weight Input</t>
  </si>
  <si>
    <t>Maximum Vehicle Weight</t>
  </si>
  <si>
    <t>Transmission Volume Needed</t>
  </si>
  <si>
    <t>Amphibious Performance Design</t>
  </si>
  <si>
    <t>NOTE: For planing to actually work; you need a hp/tonne ratio of 60!</t>
  </si>
  <si>
    <t>Material used for Water Plane</t>
  </si>
  <si>
    <t>Thickness of Water Plane (mm)</t>
  </si>
  <si>
    <t>Slope</t>
  </si>
  <si>
    <t>KE Rating</t>
  </si>
  <si>
    <t>HEAT Rating</t>
  </si>
  <si>
    <t>Upper Water Plane</t>
  </si>
  <si>
    <t>Lower Water Plane</t>
  </si>
  <si>
    <t>% of Engine Power Available</t>
  </si>
  <si>
    <t>HP</t>
  </si>
  <si>
    <t>KW</t>
  </si>
  <si>
    <t>Weight of Amphibious Drivetrain</t>
  </si>
  <si>
    <t>Weight of Water Plane</t>
  </si>
  <si>
    <t>Weight of all Amphibious Equipment</t>
  </si>
  <si>
    <t>Length of Vehicle</t>
  </si>
  <si>
    <t>Width of Vehicle</t>
  </si>
  <si>
    <t>Surface Area of Vehicle</t>
  </si>
  <si>
    <t>hp</t>
  </si>
  <si>
    <t>Actual Weight of Transmission</t>
  </si>
  <si>
    <t>Transmission Max Vehicle Weight</t>
  </si>
  <si>
    <t>Water Planing Vehicle?</t>
  </si>
  <si>
    <t>Void Between Hull and Skirt (Track Width)</t>
  </si>
  <si>
    <t>mph</t>
  </si>
  <si>
    <t>psi</t>
  </si>
  <si>
    <t>rounds stowed</t>
  </si>
  <si>
    <t>missiles stowed</t>
  </si>
  <si>
    <t>ft</t>
  </si>
  <si>
    <t>mt</t>
  </si>
  <si>
    <t>t/mt</t>
  </si>
  <si>
    <t>t</t>
  </si>
  <si>
    <t>hp/t</t>
  </si>
  <si>
    <t>hp/mt</t>
  </si>
  <si>
    <t>gal/l</t>
  </si>
  <si>
    <t>l</t>
  </si>
  <si>
    <t>kmh/mph</t>
  </si>
  <si>
    <t>kmh</t>
  </si>
  <si>
    <t>kw/mt</t>
  </si>
  <si>
    <t>km/mi</t>
  </si>
  <si>
    <t>km</t>
  </si>
  <si>
    <t>kPa/psi</t>
  </si>
  <si>
    <t>kPa</t>
  </si>
  <si>
    <t>lb</t>
  </si>
  <si>
    <t>lb/kg</t>
  </si>
  <si>
    <t>Gun Mantle Armor Design</t>
  </si>
  <si>
    <t>Length of Mantle</t>
  </si>
  <si>
    <t>Height of Mantle</t>
  </si>
  <si>
    <t>Gun Shield Armor</t>
  </si>
  <si>
    <t>l/s/m3</t>
  </si>
  <si>
    <t>l/s/kg</t>
  </si>
  <si>
    <t>l/s</t>
  </si>
  <si>
    <t>l/hr</t>
  </si>
  <si>
    <t>g</t>
  </si>
  <si>
    <t>Weapon Weights (mt)</t>
  </si>
  <si>
    <t>Mantle Design</t>
  </si>
  <si>
    <t>Radius of Mantle</t>
  </si>
  <si>
    <t>Protusion of Mantle</t>
  </si>
  <si>
    <t>NOTE: For circular mantles</t>
  </si>
  <si>
    <t>NOTE: For Flat / Curved Mantles</t>
  </si>
  <si>
    <t>roof limitation</t>
  </si>
  <si>
    <t>armor limitation</t>
  </si>
  <si>
    <t>Gun Positioning in Turret</t>
  </si>
  <si>
    <t>Percent</t>
  </si>
  <si>
    <t>basket limitation</t>
  </si>
  <si>
    <t>Curved Angle</t>
  </si>
  <si>
    <t>Arc Length</t>
  </si>
  <si>
    <t>Arc Radius</t>
  </si>
  <si>
    <t>Curve Area</t>
  </si>
  <si>
    <t>NOTE: For curved mantles - Don't exceed 1/2 of Mantle height</t>
  </si>
  <si>
    <t>Angle (Degrees)</t>
  </si>
  <si>
    <t>Max Ang.</t>
  </si>
  <si>
    <t>KE Max Eq.</t>
  </si>
  <si>
    <t>HEAT Max Eq.</t>
  </si>
  <si>
    <t>Area at Edge</t>
  </si>
  <si>
    <t>Oscillating</t>
  </si>
  <si>
    <t>Maximum Gun Elevation</t>
  </si>
  <si>
    <t>Maximum Gun Depression</t>
  </si>
  <si>
    <t>Rear Bustle Raise</t>
  </si>
  <si>
    <t>Rear Triangle</t>
  </si>
  <si>
    <t>Engine Output per Cylinder</t>
  </si>
  <si>
    <t>Cylinders</t>
  </si>
  <si>
    <t>Gross Output (hp)</t>
  </si>
  <si>
    <t>2nd Projectile Weight</t>
  </si>
  <si>
    <t>2nd Project Muzzle Velocity Produced</t>
  </si>
  <si>
    <t>2nd Rounds Carried for Weapon</t>
  </si>
  <si>
    <t>total</t>
  </si>
  <si>
    <t>2nd Round Total Mass</t>
  </si>
  <si>
    <t>2nd Project Type</t>
  </si>
  <si>
    <t>Note: Just enter the type name!</t>
  </si>
  <si>
    <t>HE</t>
  </si>
  <si>
    <t>APFSDS</t>
  </si>
  <si>
    <t>(1) - Loadout 1</t>
  </si>
  <si>
    <t>(1) - Loadout 2</t>
  </si>
  <si>
    <t>Forward Length</t>
  </si>
  <si>
    <t>Rear Length</t>
  </si>
  <si>
    <t>Forward Weight Total</t>
  </si>
  <si>
    <t>Rear Weight Total</t>
  </si>
  <si>
    <t>kg*m3</t>
  </si>
  <si>
    <t>Gun Counterweight Volume</t>
  </si>
  <si>
    <t>Gun Counterweight Weight</t>
  </si>
  <si>
    <t>Resistant to M72 LAW</t>
  </si>
  <si>
    <t>Resistant to Panzerfaust 30 klein (Faustpatrone)</t>
  </si>
  <si>
    <t>Resistant to Panzerfaust 100</t>
  </si>
  <si>
    <t>Resistant to RPG-2</t>
  </si>
  <si>
    <t>Resistant to 9M111M Faktoriya</t>
  </si>
  <si>
    <t>Resistant to PzF 3-IT</t>
  </si>
  <si>
    <t>Resistant to M136 AT4 HEAT</t>
  </si>
  <si>
    <t>Resistant to RPG-7VL / SMAW HEAA</t>
  </si>
  <si>
    <t>Resistant to TOW / M136 AT4 HP</t>
  </si>
  <si>
    <t>Resistant to RL-83 Blindicide</t>
  </si>
  <si>
    <t>Resistant to TOW 2 / B-300 HEAA Tandem / Type 98 Recoilless Rifle HEAT</t>
  </si>
  <si>
    <t>Resistant to French 75mm (AMX13 FL10) at 1km</t>
  </si>
  <si>
    <t>Resistant to Soviet 85mm BR365 APBC at 1 km (WW2)</t>
  </si>
  <si>
    <t>Resistant to Soviet 85mm BR367P APCR at 1km (1960s)</t>
  </si>
  <si>
    <t>Resistant to US 90mm M3A1 (M46 Patton) HVAP at 914m</t>
  </si>
  <si>
    <t>Resistant to US 105mm T8 (WW2)</t>
  </si>
  <si>
    <t>Resistant to German 8.8 cm KwK 36 APCBC</t>
  </si>
  <si>
    <t>Resistant to German 8.8 cm Kwk 36 APCR</t>
  </si>
  <si>
    <t>Resistant to German 8.8 cm KwK 43 APCBC</t>
  </si>
  <si>
    <t>Resistant to German 8.8 cm Kwk 43 APCR</t>
  </si>
  <si>
    <t>Resistant to German 12.8 cm Pak 44 APCBC</t>
  </si>
  <si>
    <t>Resistant to Soviet 100mm D-10S (SU-100 / T-54) APHE (WW2)</t>
  </si>
  <si>
    <t>Resistant to US 76mm M1A2 (Sherman) APCBC at 914m</t>
  </si>
  <si>
    <t>Resistant to US 75mm M6 (M24 Chaffe) APCBC at 914m</t>
  </si>
  <si>
    <t>Resistant to UK 20pdr (83.4mm) APDS at 1000yd (913m)</t>
  </si>
  <si>
    <t>Resistant to German 7.5 cm KwK 42 APCBCHE</t>
  </si>
  <si>
    <t>Resistant to German 7.5 cm KwK 42 APCR</t>
  </si>
  <si>
    <t>Resistant to US 90mm M3A1 (M46 Patton) APBC at 914m</t>
  </si>
  <si>
    <t>Resistant to US 90mm T15E1 (Super Pershing) APBC at 914m</t>
  </si>
  <si>
    <t>Resistant to Soviet 122mm M1931/37 (IS-3) APHEBC at 1km</t>
  </si>
  <si>
    <t>Resistant to US 120mm T53 (T34) APBC at 914m</t>
  </si>
  <si>
    <t>Resistant to US 155mm M1/T7 (T30) AP M112B1 at 914m</t>
  </si>
  <si>
    <t>Resistant to 128mm PaK 40 L/61 (Sturer Emil) APCBC at 1000m</t>
  </si>
  <si>
    <t>Resistant to US 105mm T5 (T29) APBC at 914m</t>
  </si>
  <si>
    <t>Resistant to British Ordnance QF 17-pounder APCBC at 914m</t>
  </si>
  <si>
    <t>Resistant to German 8 cm PAW 600 at 750m</t>
  </si>
  <si>
    <t>Resistant to US 90mm T15E1 (Super Pershing) HVAP at 914m</t>
  </si>
  <si>
    <t>Hydrogen</t>
  </si>
  <si>
    <t>Liquified Petroleum Gas</t>
  </si>
  <si>
    <t>Propane</t>
  </si>
  <si>
    <t>Ethanol</t>
  </si>
  <si>
    <t>Synthetic Paraffinic Kerosene</t>
  </si>
  <si>
    <t>Density unknown</t>
  </si>
  <si>
    <t>a</t>
  </si>
  <si>
    <t>Tungsten</t>
  </si>
  <si>
    <t>c0</t>
  </si>
  <si>
    <t>c1</t>
  </si>
  <si>
    <t>N/A</t>
  </si>
  <si>
    <t>Aluminum 5083 (MIL-A-46026)</t>
  </si>
  <si>
    <t>Aluminum 5083 (MIL-A-46026) Honeycombed</t>
  </si>
  <si>
    <t>Aluminum 5083 (MIL-A-46026) Perforated</t>
  </si>
  <si>
    <t>Titanium-6Al-4V (MIL-A-46077)</t>
  </si>
  <si>
    <t>Titanium-6Al-4V (MIL-A-46077) Perforated</t>
  </si>
  <si>
    <t>Resistant to 150mm Demolition Shaped Charge</t>
  </si>
  <si>
    <t>Gun Penetration vs Turret Front</t>
  </si>
  <si>
    <t>Maybach HL 230 (Panther, Tiger 2)</t>
  </si>
  <si>
    <t>Daimler Benz 507 (WW2)</t>
  </si>
  <si>
    <t>kw/m3 and g/kwH are guessed - TRUE MODULAR DESIGN</t>
  </si>
  <si>
    <t>Allison V-1710 (WW2)</t>
  </si>
  <si>
    <t>kw/m3 is a guess</t>
  </si>
  <si>
    <t>Ford GAC (GAA Derivative - T29) (WW2)</t>
  </si>
  <si>
    <t>Simmering-Graz-Pauker Sla 16 (Posche Type 212) (WW2)</t>
  </si>
  <si>
    <t>Continental AV1790 (T30, T43, M103, M47-60 Patton) (WW2)</t>
  </si>
  <si>
    <t>Electric Transmission (T23) (WW2)</t>
  </si>
  <si>
    <t>Assuming base kg/kw is 3 - Transmission was reported to weight 1.9t more than conventional</t>
  </si>
  <si>
    <t>Autoloader</t>
  </si>
  <si>
    <t>Manual</t>
  </si>
  <si>
    <t>Capacity</t>
  </si>
  <si>
    <t>Autoloader Volume</t>
  </si>
  <si>
    <t>Autoloader Weight</t>
  </si>
  <si>
    <t>No. of Autoloaders</t>
  </si>
  <si>
    <t>max round capacity</t>
  </si>
  <si>
    <t>Meggit 120mm Compact Autoloader (Cassette)</t>
  </si>
  <si>
    <t>Meggit Stryker MGS 105mm Replenisher (Carousel)</t>
  </si>
  <si>
    <t>kw/hp</t>
  </si>
  <si>
    <t>Continental W-670-9A (M2 Light, M3 Stuart) (WW2)</t>
  </si>
  <si>
    <t>g/kwH is a guess</t>
  </si>
  <si>
    <t>Wright G-200 (T1 Heavy, M6 Heavy) (WW2)</t>
  </si>
  <si>
    <t>DRY</t>
  </si>
  <si>
    <t>DRY, kw/m3 and g/kwH are guessed</t>
  </si>
  <si>
    <t>Wright R-975 E3-C2 (M3, M4, M7, M18, M12, M40) (WW2)</t>
  </si>
  <si>
    <t>RHA - American</t>
  </si>
  <si>
    <t>RHA - Russian-welded (WW2)</t>
  </si>
  <si>
    <t>RHA - Russian-hardened</t>
  </si>
  <si>
    <t>RHA - Thin</t>
  </si>
  <si>
    <t>RHA - Semi-Hardened</t>
  </si>
  <si>
    <t>Core of Siliceous Armor</t>
  </si>
  <si>
    <t>RHA - Triple Hardness</t>
  </si>
  <si>
    <t>RHA - High Hardness</t>
  </si>
  <si>
    <t>Plexiglass</t>
  </si>
  <si>
    <t>Lead</t>
  </si>
  <si>
    <t>Recommened to back 3x thickness of DU</t>
  </si>
  <si>
    <t>Should be backed by Lead</t>
  </si>
  <si>
    <t>AD-90 (90% Alumina)</t>
  </si>
  <si>
    <t>AD-85 (85% Alumina)</t>
  </si>
  <si>
    <t>AD-92 (92% Alumina)</t>
  </si>
  <si>
    <t>AD-97 (97% Alumina)</t>
  </si>
  <si>
    <t>WHA (HM1100)</t>
  </si>
  <si>
    <t>WHA (90% W)</t>
  </si>
  <si>
    <t>Rubber (Some kind)</t>
  </si>
  <si>
    <t>According to Paul Lakowski - posted by Djuice</t>
  </si>
  <si>
    <t>HHS are weak to multiple hits and medium-large KE atttacks as a result</t>
  </si>
  <si>
    <t>NOTES</t>
  </si>
  <si>
    <t>High hardness steels (HHS) produce tons of spalling, cracking, and irregular/large diameter plugs</t>
  </si>
  <si>
    <t>HHS are good vs ball or AP</t>
  </si>
  <si>
    <t>Aluminum 2519-T87 (MIL-DTL-46192 (MR))</t>
  </si>
  <si>
    <t>Titanium-4Al-4V (MIL-DTL-46077E)</t>
  </si>
  <si>
    <t>Aluminum AL-7039 (MIL-DTL-46063H)</t>
  </si>
  <si>
    <t>gal</t>
  </si>
  <si>
    <t>RHA - Cast</t>
  </si>
  <si>
    <t>mt/t</t>
  </si>
  <si>
    <t>WW2 Era Transmission?</t>
  </si>
  <si>
    <t>mi</t>
  </si>
  <si>
    <t>Guess 3 kg/kw</t>
  </si>
  <si>
    <t>Curved</t>
  </si>
  <si>
    <t>APCBC</t>
  </si>
  <si>
    <t>HVAP</t>
  </si>
  <si>
    <t>34.63 goal</t>
  </si>
  <si>
    <t>Horziontal Volute Spring Suspesion (HVSS) ?</t>
  </si>
  <si>
    <t>Dual Bogies System</t>
  </si>
  <si>
    <t>Maximum Road Speed:</t>
  </si>
  <si>
    <t>Maximum Dash Speed:</t>
  </si>
  <si>
    <t>Track Length in % of Hull Length</t>
  </si>
  <si>
    <t>%</t>
  </si>
  <si>
    <t>M4A2 (76mm) Wet, HVSS Sherman</t>
  </si>
  <si>
    <t>Medium</t>
  </si>
  <si>
    <t>Plate Shape</t>
  </si>
  <si>
    <t>Protusion Length</t>
  </si>
  <si>
    <t>Note: For shapes not Flat</t>
  </si>
  <si>
    <t>rad</t>
  </si>
  <si>
    <t>Top Radius</t>
  </si>
  <si>
    <t>Top Angle</t>
  </si>
  <si>
    <t>Top Arch Len</t>
  </si>
  <si>
    <t>Bot Arch Len</t>
  </si>
  <si>
    <t>Bot Radius</t>
  </si>
  <si>
    <t>Bot Angle</t>
  </si>
  <si>
    <t>Frontal Area</t>
  </si>
  <si>
    <t>Volume Created</t>
  </si>
  <si>
    <t>Flat</t>
  </si>
  <si>
    <t>???</t>
  </si>
</sst>
</file>

<file path=xl/styles.xml><?xml version="1.0" encoding="utf-8"?>
<styleSheet xmlns="http://schemas.openxmlformats.org/spreadsheetml/2006/main">
  <numFmts count="3">
    <numFmt numFmtId="164" formatCode="&quot;TRUE&quot;;&quot;TRUE&quot;;&quot;FALSE&quot;"/>
    <numFmt numFmtId="165" formatCode="0.000"/>
    <numFmt numFmtId="166" formatCode="0.000000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i/>
      <sz val="12"/>
      <color indexed="17"/>
      <name val="Arial"/>
      <family val="2"/>
    </font>
    <font>
      <b/>
      <i/>
      <sz val="2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indexed="8"/>
      <name val="Arial"/>
      <family val="2"/>
    </font>
    <font>
      <b/>
      <i/>
      <sz val="13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50"/>
        <bgColor indexed="5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5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indexed="8"/>
      </bottom>
      <diagonal/>
    </border>
  </borders>
  <cellStyleXfs count="3">
    <xf numFmtId="0" fontId="0" fillId="0" borderId="0"/>
    <xf numFmtId="0" fontId="3" fillId="0" borderId="0"/>
    <xf numFmtId="3" fontId="4" fillId="2" borderId="0" applyBorder="0" applyAlignment="0" applyProtection="0"/>
  </cellStyleXfs>
  <cellXfs count="3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1"/>
    <xf numFmtId="0" fontId="5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3" fillId="0" borderId="0" xfId="1" applyNumberFormat="1"/>
    <xf numFmtId="0" fontId="6" fillId="0" borderId="0" xfId="1" applyFont="1" applyAlignment="1">
      <alignment wrapText="1"/>
    </xf>
    <xf numFmtId="0" fontId="3" fillId="0" borderId="1" xfId="1" applyBorder="1"/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5" fillId="0" borderId="0" xfId="1" applyFont="1" applyAlignment="1">
      <alignment wrapText="1"/>
    </xf>
    <xf numFmtId="0" fontId="5" fillId="3" borderId="0" xfId="1" applyFont="1" applyFill="1"/>
    <xf numFmtId="0" fontId="5" fillId="0" borderId="0" xfId="1" applyFont="1"/>
    <xf numFmtId="0" fontId="3" fillId="0" borderId="0" xfId="1" applyFont="1" applyAlignment="1">
      <alignment wrapText="1"/>
    </xf>
    <xf numFmtId="0" fontId="3" fillId="0" borderId="0" xfId="1" applyNumberFormat="1"/>
    <xf numFmtId="0" fontId="6" fillId="0" borderId="0" xfId="1" applyFont="1"/>
    <xf numFmtId="0" fontId="3" fillId="0" borderId="0" xfId="1" applyFont="1" applyAlignment="1">
      <alignment horizontal="left"/>
    </xf>
    <xf numFmtId="0" fontId="7" fillId="0" borderId="0" xfId="1" applyFont="1"/>
    <xf numFmtId="0" fontId="3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6" fillId="0" borderId="0" xfId="1" applyFont="1" applyAlignment="1">
      <alignment horizontal="right"/>
    </xf>
    <xf numFmtId="0" fontId="8" fillId="0" borderId="0" xfId="1" applyFont="1"/>
    <xf numFmtId="3" fontId="3" fillId="0" borderId="0" xfId="1" applyNumberFormat="1"/>
    <xf numFmtId="0" fontId="5" fillId="0" borderId="0" xfId="1" applyFont="1" applyAlignment="1">
      <alignment horizontal="center"/>
    </xf>
    <xf numFmtId="0" fontId="5" fillId="3" borderId="0" xfId="1" applyFont="1" applyFill="1" applyAlignment="1">
      <alignment horizontal="center"/>
    </xf>
    <xf numFmtId="1" fontId="3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Border="1"/>
    <xf numFmtId="0" fontId="5" fillId="0" borderId="0" xfId="1" applyFont="1" applyAlignment="1">
      <alignment horizontal="right"/>
    </xf>
    <xf numFmtId="4" fontId="3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/>
    </xf>
    <xf numFmtId="3" fontId="3" fillId="0" borderId="0" xfId="1" applyNumberFormat="1" applyAlignment="1">
      <alignment horizontal="center"/>
    </xf>
    <xf numFmtId="2" fontId="3" fillId="0" borderId="0" xfId="1" applyNumberFormat="1" applyAlignment="1">
      <alignment horizontal="center"/>
    </xf>
    <xf numFmtId="0" fontId="6" fillId="0" borderId="0" xfId="1" applyFont="1" applyAlignment="1">
      <alignment horizontal="center"/>
    </xf>
    <xf numFmtId="0" fontId="5" fillId="3" borderId="0" xfId="1" applyFont="1" applyFill="1" applyAlignment="1">
      <alignment horizontal="right"/>
    </xf>
    <xf numFmtId="0" fontId="3" fillId="0" borderId="0" xfId="1" applyAlignment="1">
      <alignment horizontal="right"/>
    </xf>
    <xf numFmtId="3" fontId="6" fillId="0" borderId="0" xfId="1" applyNumberFormat="1" applyFont="1"/>
    <xf numFmtId="2" fontId="6" fillId="0" borderId="0" xfId="1" applyNumberFormat="1" applyFont="1"/>
    <xf numFmtId="0" fontId="10" fillId="0" borderId="0" xfId="1" applyFont="1"/>
    <xf numFmtId="4" fontId="3" fillId="0" borderId="0" xfId="1" applyNumberFormat="1"/>
    <xf numFmtId="2" fontId="3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left"/>
    </xf>
    <xf numFmtId="2" fontId="5" fillId="0" borderId="0" xfId="1" applyNumberFormat="1" applyFont="1"/>
    <xf numFmtId="4" fontId="8" fillId="0" borderId="0" xfId="1" applyNumberFormat="1" applyFont="1"/>
    <xf numFmtId="4" fontId="5" fillId="3" borderId="0" xfId="1" applyNumberFormat="1" applyFont="1" applyFill="1"/>
    <xf numFmtId="0" fontId="3" fillId="0" borderId="0" xfId="1" applyFill="1" applyAlignment="1">
      <alignment horizontal="center"/>
    </xf>
    <xf numFmtId="0" fontId="5" fillId="4" borderId="0" xfId="1" applyFont="1" applyFill="1" applyAlignment="1">
      <alignment horizontal="center"/>
    </xf>
    <xf numFmtId="0" fontId="5" fillId="5" borderId="0" xfId="1" applyFont="1" applyFill="1" applyAlignment="1">
      <alignment horizontal="center"/>
    </xf>
    <xf numFmtId="0" fontId="5" fillId="5" borderId="0" xfId="1" applyFont="1" applyFill="1"/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5" fillId="0" borderId="0" xfId="1" applyFont="1"/>
    <xf numFmtId="0" fontId="3" fillId="0" borderId="0" xfId="1" applyNumberFormat="1"/>
    <xf numFmtId="0" fontId="3" fillId="0" borderId="0" xfId="1" applyFont="1" applyAlignment="1">
      <alignment horizontal="left"/>
    </xf>
    <xf numFmtId="0" fontId="7" fillId="0" borderId="0" xfId="1" applyFont="1"/>
    <xf numFmtId="0" fontId="6" fillId="0" borderId="0" xfId="1" applyFont="1" applyAlignment="1">
      <alignment horizontal="right"/>
    </xf>
    <xf numFmtId="3" fontId="3" fillId="0" borderId="0" xfId="1" applyNumberFormat="1"/>
    <xf numFmtId="0" fontId="5" fillId="0" borderId="0" xfId="1" applyFont="1" applyAlignment="1">
      <alignment horizontal="center"/>
    </xf>
    <xf numFmtId="1" fontId="3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3" fontId="3" fillId="0" borderId="0" xfId="1" applyNumberFormat="1" applyAlignment="1">
      <alignment horizontal="center"/>
    </xf>
    <xf numFmtId="0" fontId="5" fillId="3" borderId="0" xfId="1" applyFont="1" applyFill="1" applyAlignment="1">
      <alignment horizontal="right"/>
    </xf>
    <xf numFmtId="0" fontId="9" fillId="0" borderId="0" xfId="1" applyFont="1" applyAlignment="1">
      <alignment horizontal="right"/>
    </xf>
    <xf numFmtId="0" fontId="3" fillId="0" borderId="0" xfId="1" applyFill="1" applyAlignment="1">
      <alignment horizontal="center"/>
    </xf>
    <xf numFmtId="0" fontId="5" fillId="4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3" fontId="0" fillId="0" borderId="0" xfId="0" applyNumberFormat="1" applyAlignment="1">
      <alignment horizontal="center"/>
    </xf>
    <xf numFmtId="9" fontId="5" fillId="4" borderId="0" xfId="1" applyNumberFormat="1" applyFont="1" applyFill="1" applyAlignment="1">
      <alignment horizontal="center"/>
    </xf>
    <xf numFmtId="0" fontId="12" fillId="0" borderId="0" xfId="0" applyFont="1" applyAlignment="1">
      <alignment horizontal="right"/>
    </xf>
    <xf numFmtId="4" fontId="5" fillId="5" borderId="0" xfId="1" applyNumberFormat="1" applyFont="1" applyFill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5" fillId="0" borderId="0" xfId="1" applyFont="1"/>
    <xf numFmtId="0" fontId="3" fillId="0" borderId="0" xfId="1" applyNumberForma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3" fontId="3" fillId="0" borderId="0" xfId="1" applyNumberFormat="1"/>
    <xf numFmtId="0" fontId="5" fillId="0" borderId="0" xfId="1" applyFont="1" applyAlignment="1">
      <alignment horizontal="center"/>
    </xf>
    <xf numFmtId="1" fontId="3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" fontId="3" fillId="0" borderId="0" xfId="1" applyNumberFormat="1" applyFont="1" applyAlignment="1">
      <alignment horizontal="center"/>
    </xf>
    <xf numFmtId="2" fontId="3" fillId="0" borderId="0" xfId="1" applyNumberFormat="1" applyAlignment="1">
      <alignment horizontal="center"/>
    </xf>
    <xf numFmtId="0" fontId="3" fillId="0" borderId="0" xfId="1" applyAlignment="1">
      <alignment horizontal="right"/>
    </xf>
    <xf numFmtId="4" fontId="3" fillId="0" borderId="0" xfId="1" applyNumberFormat="1" applyAlignment="1">
      <alignment horizontal="center"/>
    </xf>
    <xf numFmtId="0" fontId="11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4" fontId="3" fillId="0" borderId="0" xfId="1" applyNumberFormat="1"/>
    <xf numFmtId="0" fontId="3" fillId="0" borderId="0" xfId="1" applyAlignment="1">
      <alignment horizontal="left"/>
    </xf>
    <xf numFmtId="2" fontId="3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center"/>
    </xf>
    <xf numFmtId="4" fontId="3" fillId="0" borderId="0" xfId="1" applyNumberFormat="1" applyFont="1"/>
    <xf numFmtId="4" fontId="5" fillId="0" borderId="0" xfId="1" applyNumberFormat="1" applyFont="1"/>
    <xf numFmtId="4" fontId="3" fillId="0" borderId="0" xfId="1" applyNumberFormat="1" applyFont="1" applyAlignment="1">
      <alignment horizontal="left"/>
    </xf>
    <xf numFmtId="4" fontId="5" fillId="0" borderId="0" xfId="1" applyNumberFormat="1" applyFont="1" applyAlignment="1">
      <alignment horizontal="left"/>
    </xf>
    <xf numFmtId="4" fontId="3" fillId="0" borderId="0" xfId="1" applyNumberFormat="1" applyFont="1" applyAlignment="1"/>
    <xf numFmtId="0" fontId="3" fillId="0" borderId="0" xfId="1" applyFill="1" applyAlignment="1">
      <alignment horizontal="center"/>
    </xf>
    <xf numFmtId="0" fontId="5" fillId="4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3" fillId="0" borderId="0" xfId="1" applyNumberFormat="1" applyAlignment="1">
      <alignment horizontal="right"/>
    </xf>
    <xf numFmtId="3" fontId="3" fillId="0" borderId="0" xfId="1" applyNumberFormat="1" applyAlignment="1">
      <alignment horizontal="right"/>
    </xf>
    <xf numFmtId="0" fontId="5" fillId="5" borderId="0" xfId="1" applyFont="1" applyFill="1" applyAlignment="1">
      <alignment horizontal="right"/>
    </xf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5" fillId="0" borderId="0" xfId="1" applyFont="1"/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" fontId="3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Border="1"/>
    <xf numFmtId="4" fontId="6" fillId="0" borderId="0" xfId="1" applyNumberFormat="1" applyFont="1"/>
    <xf numFmtId="0" fontId="3" fillId="0" borderId="0" xfId="1" applyFill="1" applyAlignment="1">
      <alignment horizontal="center"/>
    </xf>
    <xf numFmtId="0" fontId="5" fillId="4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5" fillId="0" borderId="0" xfId="1" applyFont="1"/>
    <xf numFmtId="0" fontId="3" fillId="0" borderId="0" xfId="1" applyNumberForma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1" fontId="3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3" fillId="0" borderId="0" xfId="1" applyNumberFormat="1" applyAlignment="1">
      <alignment horizontal="center"/>
    </xf>
    <xf numFmtId="0" fontId="3" fillId="0" borderId="0" xfId="1" applyAlignment="1">
      <alignment horizontal="right"/>
    </xf>
    <xf numFmtId="0" fontId="9" fillId="0" borderId="0" xfId="1" applyFont="1" applyAlignment="1">
      <alignment horizontal="right"/>
    </xf>
    <xf numFmtId="0" fontId="13" fillId="0" borderId="0" xfId="1" applyFont="1" applyAlignment="1"/>
    <xf numFmtId="0" fontId="6" fillId="0" borderId="0" xfId="1" applyFont="1" applyAlignment="1"/>
    <xf numFmtId="4" fontId="3" fillId="0" borderId="0" xfId="1" applyNumberFormat="1" applyFont="1" applyAlignment="1"/>
    <xf numFmtId="0" fontId="3" fillId="0" borderId="0" xfId="1" applyFill="1" applyAlignment="1">
      <alignment horizontal="center"/>
    </xf>
    <xf numFmtId="4" fontId="6" fillId="0" borderId="0" xfId="1" applyNumberFormat="1" applyFont="1" applyAlignment="1"/>
    <xf numFmtId="166" fontId="3" fillId="0" borderId="0" xfId="1" applyNumberFormat="1" applyAlignment="1">
      <alignment horizontal="center"/>
    </xf>
    <xf numFmtId="0" fontId="5" fillId="4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Alignment="1"/>
    <xf numFmtId="4" fontId="5" fillId="3" borderId="0" xfId="1" applyNumberFormat="1" applyFont="1" applyFill="1" applyAlignment="1"/>
    <xf numFmtId="0" fontId="3" fillId="0" borderId="0" xfId="1" applyAlignment="1"/>
    <xf numFmtId="0" fontId="3" fillId="0" borderId="0" xfId="1" applyFont="1" applyAlignment="1"/>
    <xf numFmtId="0" fontId="3" fillId="0" borderId="0" xfId="1" applyNumberFormat="1" applyAlignment="1"/>
    <xf numFmtId="0" fontId="7" fillId="0" borderId="0" xfId="1" applyFont="1" applyAlignment="1"/>
    <xf numFmtId="3" fontId="3" fillId="0" borderId="0" xfId="1" applyNumberFormat="1" applyAlignment="1"/>
    <xf numFmtId="0" fontId="3" fillId="0" borderId="2" xfId="1" applyBorder="1" applyAlignment="1"/>
    <xf numFmtId="166" fontId="3" fillId="0" borderId="0" xfId="1" applyNumberFormat="1" applyAlignment="1"/>
    <xf numFmtId="3" fontId="6" fillId="0" borderId="0" xfId="1" applyNumberFormat="1" applyFont="1" applyAlignment="1"/>
    <xf numFmtId="4" fontId="3" fillId="0" borderId="0" xfId="1" applyNumberFormat="1" applyAlignment="1"/>
    <xf numFmtId="4" fontId="8" fillId="0" borderId="0" xfId="1" applyNumberFormat="1" applyFont="1" applyAlignment="1"/>
    <xf numFmtId="4" fontId="5" fillId="5" borderId="0" xfId="1" applyNumberFormat="1" applyFont="1" applyFill="1" applyAlignment="1"/>
    <xf numFmtId="0" fontId="5" fillId="5" borderId="0" xfId="1" applyFont="1" applyFill="1" applyAlignment="1"/>
    <xf numFmtId="0" fontId="3" fillId="0" borderId="0" xfId="1" applyFont="1" applyFill="1" applyAlignment="1"/>
    <xf numFmtId="0" fontId="3" fillId="0" borderId="0" xfId="1" applyFont="1" applyFill="1" applyBorder="1" applyAlignment="1">
      <alignment horizontal="right"/>
    </xf>
    <xf numFmtId="0" fontId="3" fillId="0" borderId="0" xfId="1" applyFont="1" applyFill="1" applyBorder="1" applyAlignment="1"/>
    <xf numFmtId="0" fontId="3" fillId="0" borderId="0" xfId="1" applyFill="1" applyBorder="1" applyAlignment="1"/>
    <xf numFmtId="0" fontId="3" fillId="0" borderId="0" xfId="1" applyNumberFormat="1" applyFill="1" applyBorder="1" applyAlignment="1"/>
    <xf numFmtId="0" fontId="5" fillId="4" borderId="0" xfId="1" applyFont="1" applyFill="1" applyAlignment="1"/>
    <xf numFmtId="4" fontId="0" fillId="0" borderId="0" xfId="0" applyNumberFormat="1"/>
    <xf numFmtId="4" fontId="0" fillId="0" borderId="0" xfId="0" applyNumberFormat="1" applyAlignment="1"/>
    <xf numFmtId="0" fontId="15" fillId="0" borderId="0" xfId="1" applyFont="1" applyAlignment="1">
      <alignment horizontal="center"/>
    </xf>
    <xf numFmtId="9" fontId="5" fillId="4" borderId="0" xfId="1" applyNumberFormat="1" applyFont="1" applyFill="1" applyAlignment="1"/>
    <xf numFmtId="0" fontId="6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5" fillId="5" borderId="0" xfId="1" applyNumberFormat="1" applyFont="1" applyFill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3" fillId="0" borderId="0" xfId="1" applyFont="1"/>
    <xf numFmtId="0" fontId="7" fillId="0" borderId="0" xfId="1" applyFont="1"/>
    <xf numFmtId="0" fontId="5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4" fontId="3" fillId="0" borderId="0" xfId="1" applyNumberFormat="1"/>
    <xf numFmtId="4" fontId="5" fillId="0" borderId="0" xfId="1" applyNumberFormat="1" applyFont="1" applyAlignment="1">
      <alignment horizontal="center"/>
    </xf>
    <xf numFmtId="4" fontId="5" fillId="5" borderId="0" xfId="1" applyNumberFormat="1" applyFont="1" applyFill="1" applyAlignment="1">
      <alignment horizontal="right"/>
    </xf>
    <xf numFmtId="0" fontId="3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3" fontId="3" fillId="0" borderId="0" xfId="1" applyNumberFormat="1" applyAlignment="1">
      <alignment horizontal="center"/>
    </xf>
    <xf numFmtId="3" fontId="3" fillId="0" borderId="0" xfId="1" applyNumberFormat="1" applyFont="1" applyAlignment="1">
      <alignment horizontal="center"/>
    </xf>
    <xf numFmtId="4" fontId="3" fillId="0" borderId="0" xfId="1" applyNumberFormat="1" applyAlignment="1">
      <alignment horizontal="center"/>
    </xf>
    <xf numFmtId="0" fontId="3" fillId="0" borderId="2" xfId="1" applyBorder="1" applyAlignment="1">
      <alignment horizontal="center"/>
    </xf>
    <xf numFmtId="4" fontId="5" fillId="0" borderId="0" xfId="1" applyNumberFormat="1" applyFont="1" applyAlignment="1">
      <alignment horizontal="center"/>
    </xf>
    <xf numFmtId="4" fontId="3" fillId="0" borderId="2" xfId="1" applyNumberFormat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3" fillId="0" borderId="0" xfId="1" applyNumberFormat="1" applyAlignment="1"/>
    <xf numFmtId="2" fontId="5" fillId="0" borderId="0" xfId="1" applyNumberFormat="1" applyFont="1" applyAlignment="1"/>
    <xf numFmtId="165" fontId="3" fillId="0" borderId="0" xfId="1" applyNumberFormat="1" applyAlignment="1"/>
    <xf numFmtId="4" fontId="5" fillId="4" borderId="0" xfId="1" applyNumberFormat="1" applyFont="1" applyFill="1" applyAlignment="1"/>
    <xf numFmtId="4" fontId="3" fillId="0" borderId="0" xfId="1" applyNumberFormat="1" applyFont="1" applyFill="1" applyAlignment="1">
      <alignment horizontal="right"/>
    </xf>
    <xf numFmtId="4" fontId="5" fillId="4" borderId="0" xfId="1" applyNumberFormat="1" applyFont="1" applyFill="1" applyAlignment="1">
      <alignment horizontal="right"/>
    </xf>
    <xf numFmtId="9" fontId="5" fillId="5" borderId="0" xfId="1" applyNumberFormat="1" applyFont="1" applyFill="1" applyAlignment="1"/>
    <xf numFmtId="0" fontId="3" fillId="0" borderId="0" xfId="1"/>
    <xf numFmtId="0" fontId="5" fillId="0" borderId="0" xfId="1" applyFont="1"/>
    <xf numFmtId="0" fontId="5" fillId="0" borderId="0" xfId="1" applyFont="1" applyAlignment="1">
      <alignment horizontal="right"/>
    </xf>
    <xf numFmtId="0" fontId="3" fillId="0" borderId="0" xfId="1" applyAlignment="1">
      <alignment horizontal="right"/>
    </xf>
    <xf numFmtId="0" fontId="14" fillId="0" borderId="0" xfId="1" applyFont="1"/>
    <xf numFmtId="4" fontId="3" fillId="0" borderId="0" xfId="1" applyNumberFormat="1"/>
    <xf numFmtId="4" fontId="5" fillId="3" borderId="0" xfId="1" applyNumberFormat="1" applyFont="1" applyFill="1" applyAlignment="1">
      <alignment horizontal="center"/>
    </xf>
    <xf numFmtId="4" fontId="8" fillId="0" borderId="0" xfId="1" applyNumberFormat="1" applyFont="1"/>
    <xf numFmtId="4" fontId="5" fillId="3" borderId="0" xfId="1" applyNumberFormat="1" applyFont="1" applyFill="1"/>
    <xf numFmtId="4" fontId="3" fillId="0" borderId="0" xfId="1" applyNumberFormat="1" applyAlignment="1">
      <alignment horizontal="right"/>
    </xf>
    <xf numFmtId="0" fontId="3" fillId="0" borderId="0" xfId="1" applyNumberFormat="1" applyAlignment="1">
      <alignment horizontal="center"/>
    </xf>
    <xf numFmtId="4" fontId="3" fillId="0" borderId="0" xfId="1" applyNumberFormat="1" applyFill="1"/>
    <xf numFmtId="4" fontId="5" fillId="5" borderId="0" xfId="1" applyNumberFormat="1" applyFont="1" applyFill="1"/>
    <xf numFmtId="3" fontId="5" fillId="5" borderId="0" xfId="1" applyNumberFormat="1" applyFont="1" applyFill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" fontId="3" fillId="0" borderId="0" xfId="1" applyNumberFormat="1" applyFont="1" applyAlignment="1">
      <alignment horizontal="center"/>
    </xf>
    <xf numFmtId="0" fontId="3" fillId="0" borderId="0" xfId="1" applyAlignment="1">
      <alignment horizontal="right"/>
    </xf>
    <xf numFmtId="4" fontId="3" fillId="0" borderId="0" xfId="1" applyNumberFormat="1" applyAlignment="1">
      <alignment horizontal="center"/>
    </xf>
    <xf numFmtId="164" fontId="5" fillId="3" borderId="0" xfId="1" applyNumberFormat="1" applyFont="1" applyFill="1" applyAlignment="1">
      <alignment horizontal="center"/>
    </xf>
    <xf numFmtId="0" fontId="7" fillId="0" borderId="0" xfId="1" applyFont="1" applyAlignment="1">
      <alignment horizontal="left"/>
    </xf>
    <xf numFmtId="0" fontId="5" fillId="0" borderId="0" xfId="1" applyFont="1" applyAlignment="1">
      <alignment horizontal="right" wrapText="1"/>
    </xf>
    <xf numFmtId="4" fontId="3" fillId="0" borderId="0" xfId="1" applyNumberFormat="1"/>
    <xf numFmtId="4" fontId="3" fillId="0" borderId="0" xfId="1" applyNumberFormat="1" applyFont="1"/>
    <xf numFmtId="4" fontId="5" fillId="0" borderId="0" xfId="1" applyNumberFormat="1" applyFont="1"/>
    <xf numFmtId="4" fontId="5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left"/>
    </xf>
    <xf numFmtId="4" fontId="5" fillId="0" borderId="0" xfId="1" applyNumberFormat="1" applyFont="1" applyAlignment="1">
      <alignment horizontal="left"/>
    </xf>
    <xf numFmtId="4" fontId="3" fillId="0" borderId="0" xfId="1" applyNumberFormat="1" applyAlignment="1">
      <alignment horizontal="left"/>
    </xf>
    <xf numFmtId="2" fontId="5" fillId="5" borderId="0" xfId="1" applyNumberFormat="1" applyFont="1" applyFill="1" applyAlignment="1">
      <alignment horizontal="center"/>
    </xf>
    <xf numFmtId="2" fontId="0" fillId="0" borderId="0" xfId="0" applyNumberFormat="1"/>
    <xf numFmtId="10" fontId="5" fillId="5" borderId="0" xfId="1" applyNumberFormat="1" applyFont="1" applyFill="1" applyAlignment="1">
      <alignment horizontal="center"/>
    </xf>
    <xf numFmtId="2" fontId="1" fillId="4" borderId="0" xfId="0" applyNumberFormat="1" applyFont="1" applyFill="1"/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right"/>
    </xf>
    <xf numFmtId="2" fontId="1" fillId="0" borderId="0" xfId="0" applyNumberFormat="1" applyFont="1"/>
    <xf numFmtId="0" fontId="3" fillId="0" borderId="0" xfId="1" applyAlignment="1">
      <alignment horizontal="center"/>
    </xf>
    <xf numFmtId="0" fontId="0" fillId="0" borderId="0" xfId="0" applyFont="1"/>
    <xf numFmtId="2" fontId="0" fillId="0" borderId="0" xfId="0" applyNumberFormat="1" applyAlignment="1">
      <alignment horizontal="right"/>
    </xf>
    <xf numFmtId="2" fontId="0" fillId="0" borderId="0" xfId="0" applyNumberFormat="1" applyAlignment="1"/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/>
    <xf numFmtId="2" fontId="0" fillId="0" borderId="0" xfId="0" applyNumberFormat="1" applyFont="1" applyAlignment="1"/>
    <xf numFmtId="0" fontId="0" fillId="0" borderId="0" xfId="0" applyFont="1" applyAlignment="1"/>
    <xf numFmtId="0" fontId="3" fillId="0" borderId="0" xfId="1" applyNumberFormat="1" applyFont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3" fillId="0" borderId="0" xfId="1" applyNumberFormat="1" applyFont="1" applyAlignment="1"/>
    <xf numFmtId="10" fontId="5" fillId="4" borderId="0" xfId="1" applyNumberFormat="1" applyFont="1" applyFill="1" applyAlignment="1"/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1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7" fillId="0" borderId="0" xfId="1" applyFont="1" applyAlignment="1"/>
    <xf numFmtId="0" fontId="1" fillId="4" borderId="0" xfId="0" applyFont="1" applyFill="1"/>
    <xf numFmtId="9" fontId="1" fillId="4" borderId="0" xfId="0" applyNumberFormat="1" applyFont="1" applyFill="1"/>
    <xf numFmtId="0" fontId="0" fillId="0" borderId="0" xfId="0" applyAlignment="1">
      <alignment horizontal="right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9" fontId="3" fillId="0" borderId="0" xfId="1" applyNumberFormat="1" applyFont="1" applyFill="1" applyAlignme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3" fillId="0" borderId="0" xfId="1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4" borderId="0" xfId="1" applyFont="1" applyFill="1" applyAlignment="1">
      <alignment horizontal="right"/>
    </xf>
    <xf numFmtId="0" fontId="5" fillId="4" borderId="0" xfId="1" applyFont="1" applyFill="1"/>
    <xf numFmtId="0" fontId="18" fillId="0" borderId="0" xfId="0" applyFont="1" applyAlignment="1">
      <alignment horizontal="right"/>
    </xf>
    <xf numFmtId="0" fontId="3" fillId="0" borderId="0" xfId="1" applyFont="1" applyFill="1" applyAlignment="1">
      <alignment horizontal="right"/>
    </xf>
    <xf numFmtId="3" fontId="0" fillId="0" borderId="0" xfId="0" applyNumberFormat="1"/>
    <xf numFmtId="0" fontId="0" fillId="0" borderId="0" xfId="0" applyNumberFormat="1"/>
    <xf numFmtId="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right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NumberFormat="1" applyAlignment="1">
      <alignment horizontal="center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/>
    <cellStyle name="Result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1309080550977703E-2"/>
          <c:y val="4.1304620310257792E-2"/>
          <c:w val="0.70865480785020019"/>
          <c:h val="0.88590400398776137"/>
        </c:manualLayout>
      </c:layout>
      <c:scatterChart>
        <c:scatterStyle val="lineMarker"/>
        <c:ser>
          <c:idx val="0"/>
          <c:order val="0"/>
          <c:tx>
            <c:v>HEAT Effectiveness</c:v>
          </c:tx>
          <c:spPr>
            <a:ln w="28575">
              <a:noFill/>
            </a:ln>
          </c:spPr>
          <c:trendline>
            <c:trendlineType val="exp"/>
            <c:dispEq val="1"/>
            <c:trendlineLbl>
              <c:layout>
                <c:manualLayout>
                  <c:x val="-6.3559817535075044E-2"/>
                  <c:y val="-0.134266990507624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 b="1" i="0"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'Armor Trend'!$B$2:$B$11</c:f>
              <c:numCache>
                <c:formatCode>General</c:formatCode>
                <c:ptCount val="10"/>
                <c:pt idx="0">
                  <c:v>252</c:v>
                </c:pt>
                <c:pt idx="1">
                  <c:v>203</c:v>
                </c:pt>
                <c:pt idx="2">
                  <c:v>152</c:v>
                </c:pt>
                <c:pt idx="3">
                  <c:v>102</c:v>
                </c:pt>
                <c:pt idx="4">
                  <c:v>76</c:v>
                </c:pt>
                <c:pt idx="5">
                  <c:v>51</c:v>
                </c:pt>
                <c:pt idx="6">
                  <c:v>38</c:v>
                </c:pt>
                <c:pt idx="7">
                  <c:v>25</c:v>
                </c:pt>
                <c:pt idx="8">
                  <c:v>10</c:v>
                </c:pt>
                <c:pt idx="9">
                  <c:v>5</c:v>
                </c:pt>
              </c:numCache>
            </c:numRef>
          </c:xVal>
          <c:yVal>
            <c:numRef>
              <c:f>'Armor Trend'!$C$2:$C$11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7.7</c:v>
                </c:pt>
                <c:pt idx="9">
                  <c:v>9</c:v>
                </c:pt>
              </c:numCache>
            </c:numRef>
          </c:yVal>
        </c:ser>
        <c:ser>
          <c:idx val="1"/>
          <c:order val="1"/>
          <c:tx>
            <c:v>KE Effectiveness</c:v>
          </c:tx>
          <c:spPr>
            <a:ln w="28575">
              <a:noFill/>
            </a:ln>
          </c:spPr>
          <c:trendline>
            <c:trendlineType val="exp"/>
            <c:dispEq val="1"/>
            <c:trendlineLbl>
              <c:layout>
                <c:manualLayout>
                  <c:x val="-0.12908811324982808"/>
                  <c:y val="3.7112225679951883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 b="1" i="0"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'Armor Trend'!$B$13:$B$21</c:f>
              <c:numCache>
                <c:formatCode>General</c:formatCode>
                <c:ptCount val="9"/>
                <c:pt idx="0">
                  <c:v>252</c:v>
                </c:pt>
                <c:pt idx="1">
                  <c:v>203</c:v>
                </c:pt>
                <c:pt idx="2">
                  <c:v>152</c:v>
                </c:pt>
                <c:pt idx="3">
                  <c:v>102</c:v>
                </c:pt>
                <c:pt idx="4">
                  <c:v>76</c:v>
                </c:pt>
                <c:pt idx="5">
                  <c:v>51</c:v>
                </c:pt>
                <c:pt idx="6">
                  <c:v>38</c:v>
                </c:pt>
                <c:pt idx="7">
                  <c:v>25</c:v>
                </c:pt>
                <c:pt idx="8">
                  <c:v>10</c:v>
                </c:pt>
              </c:numCache>
            </c:numRef>
          </c:xVal>
          <c:yVal>
            <c:numRef>
              <c:f>'Armor Trend'!$C$13:$C$21</c:f>
              <c:numCache>
                <c:formatCode>General</c:formatCode>
                <c:ptCount val="9"/>
                <c:pt idx="0">
                  <c:v>0.6</c:v>
                </c:pt>
                <c:pt idx="1">
                  <c:v>1</c:v>
                </c:pt>
                <c:pt idx="2">
                  <c:v>1.5</c:v>
                </c:pt>
                <c:pt idx="3">
                  <c:v>1.75</c:v>
                </c:pt>
                <c:pt idx="4">
                  <c:v>2</c:v>
                </c:pt>
                <c:pt idx="5">
                  <c:v>2.25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</c:numCache>
            </c:numRef>
          </c:yVal>
        </c:ser>
        <c:axId val="57353344"/>
        <c:axId val="57354880"/>
      </c:scatterChart>
      <c:valAx>
        <c:axId val="57353344"/>
        <c:scaling>
          <c:orientation val="minMax"/>
        </c:scaling>
        <c:axPos val="b"/>
        <c:numFmt formatCode="General" sourceLinked="1"/>
        <c:tickLblPos val="nextTo"/>
        <c:crossAx val="57354880"/>
        <c:crosses val="autoZero"/>
        <c:crossBetween val="midCat"/>
      </c:valAx>
      <c:valAx>
        <c:axId val="57354880"/>
        <c:scaling>
          <c:orientation val="minMax"/>
        </c:scaling>
        <c:axPos val="l"/>
        <c:majorGridlines/>
        <c:numFmt formatCode="General" sourceLinked="1"/>
        <c:tickLblPos val="nextTo"/>
        <c:crossAx val="5735334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</xdr:row>
      <xdr:rowOff>90487</xdr:rowOff>
    </xdr:from>
    <xdr:to>
      <xdr:col>19</xdr:col>
      <xdr:colOff>104775</xdr:colOff>
      <xdr:row>37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9"/>
  <sheetViews>
    <sheetView tabSelected="1" workbookViewId="0">
      <selection activeCell="B3" sqref="B3"/>
    </sheetView>
  </sheetViews>
  <sheetFormatPr defaultRowHeight="15"/>
  <cols>
    <col min="1" max="1" width="9.140625" style="245" customWidth="1"/>
    <col min="2" max="2" width="24.28515625" style="245" customWidth="1"/>
    <col min="3" max="3" width="6.42578125" style="245" customWidth="1"/>
    <col min="4" max="6" width="7.140625" style="245" customWidth="1"/>
    <col min="7" max="7" width="4.28515625" style="245" customWidth="1"/>
    <col min="8" max="10" width="7.140625" style="245" customWidth="1"/>
    <col min="11" max="16384" width="9.140625" style="245"/>
  </cols>
  <sheetData>
    <row r="1" spans="1:17" ht="26.25">
      <c r="A1" s="316" t="s">
        <v>0</v>
      </c>
      <c r="B1" s="316"/>
      <c r="C1" s="316"/>
      <c r="D1" s="316"/>
    </row>
    <row r="2" spans="1:17">
      <c r="A2" s="257" t="s">
        <v>1</v>
      </c>
      <c r="B2" s="245">
        <v>0.9</v>
      </c>
    </row>
    <row r="4" spans="1:17">
      <c r="A4" s="258"/>
      <c r="B4" s="257" t="s">
        <v>2</v>
      </c>
      <c r="C4" s="258"/>
    </row>
    <row r="5" spans="1:17">
      <c r="A5" s="258"/>
      <c r="B5" s="257" t="s">
        <v>3</v>
      </c>
      <c r="C5" s="258"/>
    </row>
    <row r="7" spans="1:17">
      <c r="A7" s="317" t="s">
        <v>4</v>
      </c>
      <c r="B7" s="317"/>
      <c r="L7" s="318" t="s">
        <v>65</v>
      </c>
      <c r="M7" s="318"/>
    </row>
    <row r="8" spans="1:17">
      <c r="A8" s="315" t="s">
        <v>12</v>
      </c>
      <c r="B8" s="315"/>
      <c r="C8" s="245">
        <f xml:space="preserve"> 'Hull Design'!C272 + 'Turret Design'!C159</f>
        <v>4</v>
      </c>
      <c r="D8" s="245" t="str">
        <f xml:space="preserve"> IF(C8 &gt; 1, "men", "man")</f>
        <v>men</v>
      </c>
      <c r="K8" s="315" t="s">
        <v>66</v>
      </c>
      <c r="L8" s="315"/>
      <c r="M8" s="315"/>
      <c r="N8" s="319" t="str">
        <f xml:space="preserve"> Engine!C8</f>
        <v>Ford GAC (GAA Derivative - T29) (WW2)</v>
      </c>
      <c r="O8" s="319"/>
      <c r="P8" s="319"/>
    </row>
    <row r="9" spans="1:17">
      <c r="A9" s="315" t="s">
        <v>43</v>
      </c>
      <c r="B9" s="315"/>
      <c r="K9" s="315" t="s">
        <v>20</v>
      </c>
      <c r="L9" s="315"/>
      <c r="M9" s="315"/>
    </row>
    <row r="10" spans="1:17">
      <c r="A10" s="315" t="s">
        <v>44</v>
      </c>
      <c r="B10" s="315"/>
      <c r="K10" s="315" t="s">
        <v>67</v>
      </c>
      <c r="L10" s="315"/>
      <c r="M10" s="315"/>
      <c r="P10" s="257"/>
      <c r="Q10" s="257" t="s">
        <v>68</v>
      </c>
    </row>
    <row r="11" spans="1:17">
      <c r="A11" s="315" t="s">
        <v>45</v>
      </c>
      <c r="B11" s="315"/>
      <c r="C11" s="245">
        <f>'Hull Design'!C2 * 'Hull Design'!G3</f>
        <v>20.66929137</v>
      </c>
      <c r="D11" s="245" t="s">
        <v>839</v>
      </c>
      <c r="K11" s="315" t="s">
        <v>69</v>
      </c>
      <c r="L11" s="315"/>
      <c r="M11" s="315"/>
    </row>
    <row r="12" spans="1:17">
      <c r="A12" s="315"/>
      <c r="B12" s="315"/>
      <c r="K12" s="315" t="s">
        <v>70</v>
      </c>
      <c r="L12" s="315"/>
      <c r="M12" s="315"/>
    </row>
    <row r="13" spans="1:17">
      <c r="A13" s="315" t="s">
        <v>42</v>
      </c>
      <c r="B13" s="315"/>
      <c r="C13" s="245">
        <f xml:space="preserve"> (HullWidth + (2 * 'Hull Design'!C146 / 1000)) * 'Hull Design'!G3</f>
        <v>4.5931758599999997</v>
      </c>
      <c r="D13" s="245" t="s">
        <v>839</v>
      </c>
      <c r="K13" s="315" t="s">
        <v>71</v>
      </c>
      <c r="L13" s="315"/>
      <c r="M13" s="315"/>
    </row>
    <row r="14" spans="1:17">
      <c r="A14" s="315" t="s">
        <v>6</v>
      </c>
      <c r="B14" s="315"/>
      <c r="C14" s="245">
        <f xml:space="preserve"> 'Print Sheet'!B5 * 'Hull Design'!G3</f>
        <v>8.5971128739600005</v>
      </c>
      <c r="D14" s="245" t="s">
        <v>839</v>
      </c>
      <c r="K14" s="315" t="s">
        <v>72</v>
      </c>
      <c r="L14" s="315"/>
      <c r="M14" s="315"/>
    </row>
    <row r="15" spans="1:17">
      <c r="A15" s="315" t="s">
        <v>7</v>
      </c>
      <c r="B15" s="315"/>
      <c r="C15" s="245">
        <f xml:space="preserve"> 'Print Sheet'!B6 * 'Hull Design'!G3</f>
        <v>9.7440945030000012</v>
      </c>
      <c r="D15" s="245" t="s">
        <v>839</v>
      </c>
      <c r="K15" s="315" t="s">
        <v>73</v>
      </c>
      <c r="L15" s="315"/>
      <c r="M15" s="315"/>
      <c r="N15" s="245">
        <f xml:space="preserve"> Engine!B8</f>
        <v>410</v>
      </c>
      <c r="O15" s="245" t="s">
        <v>830</v>
      </c>
    </row>
    <row r="16" spans="1:17">
      <c r="A16" s="315" t="s">
        <v>41</v>
      </c>
      <c r="B16" s="315"/>
      <c r="K16" s="315" t="s">
        <v>74</v>
      </c>
      <c r="L16" s="315"/>
      <c r="M16" s="315"/>
    </row>
    <row r="17" spans="1:15">
      <c r="A17" s="315"/>
      <c r="B17" s="315"/>
      <c r="K17" s="315" t="s">
        <v>75</v>
      </c>
      <c r="L17" s="315"/>
      <c r="M17" s="315"/>
    </row>
    <row r="18" spans="1:15">
      <c r="A18" s="315" t="s">
        <v>11</v>
      </c>
      <c r="B18" s="315"/>
      <c r="C18" s="245">
        <f xml:space="preserve"> 'Hull Design'!G2 * TrackWidth / 10</f>
        <v>21.259842498000001</v>
      </c>
      <c r="D18" s="245" t="s">
        <v>303</v>
      </c>
      <c r="K18" s="315" t="s">
        <v>76</v>
      </c>
      <c r="L18" s="315"/>
      <c r="M18" s="315"/>
      <c r="N18" s="245">
        <f xml:space="preserve"> Engine!C9 * 'Hull Design'!G9</f>
        <v>1343.8367908042928</v>
      </c>
      <c r="O18" s="245" t="s">
        <v>854</v>
      </c>
    </row>
    <row r="19" spans="1:15">
      <c r="A19" s="315" t="s">
        <v>10</v>
      </c>
      <c r="B19" s="315"/>
      <c r="C19" s="245">
        <f xml:space="preserve"> GroundClearance * 'Hull Design'!G3 * 12</f>
        <v>16.929133884000002</v>
      </c>
      <c r="D19" s="245" t="s">
        <v>303</v>
      </c>
      <c r="K19" s="315" t="s">
        <v>77</v>
      </c>
      <c r="L19" s="315"/>
      <c r="M19" s="315"/>
      <c r="N19" s="245">
        <f xml:space="preserve"> Engine!B22</f>
        <v>148</v>
      </c>
      <c r="O19" s="245" t="s">
        <v>1020</v>
      </c>
    </row>
    <row r="20" spans="1:15">
      <c r="A20" s="315" t="s">
        <v>8</v>
      </c>
      <c r="B20" s="315"/>
      <c r="K20" s="315" t="s">
        <v>78</v>
      </c>
      <c r="L20" s="315"/>
      <c r="M20" s="315"/>
    </row>
    <row r="21" spans="1:15">
      <c r="A21" s="315"/>
      <c r="B21" s="315"/>
      <c r="K21" s="257"/>
      <c r="L21" s="257"/>
    </row>
    <row r="22" spans="1:15">
      <c r="A22" s="315" t="s">
        <v>9</v>
      </c>
      <c r="B22" s="315"/>
      <c r="C22" s="245">
        <f xml:space="preserve"> 'Turret Design'!C1 * 'Hull Design'!G2</f>
        <v>68.897637724999996</v>
      </c>
      <c r="D22" s="245" t="s">
        <v>303</v>
      </c>
      <c r="K22" s="257"/>
      <c r="L22" s="318" t="s">
        <v>79</v>
      </c>
      <c r="M22" s="318"/>
    </row>
    <row r="23" spans="1:15">
      <c r="A23" s="321" t="s">
        <v>13</v>
      </c>
      <c r="B23" s="321"/>
      <c r="C23" s="245">
        <f xml:space="preserve"> 'Print Sheet'!B37 * 'Hull Design'!G4</f>
        <v>38.173705746599808</v>
      </c>
      <c r="D23" s="245" t="s">
        <v>842</v>
      </c>
      <c r="K23" s="315" t="s">
        <v>80</v>
      </c>
      <c r="L23" s="315"/>
      <c r="M23" s="315"/>
      <c r="N23" s="245" t="str">
        <f xml:space="preserve"> Engine!C31</f>
        <v>WW2 Era Transmission?</v>
      </c>
    </row>
    <row r="24" spans="1:15">
      <c r="A24" s="321" t="s">
        <v>14</v>
      </c>
      <c r="B24" s="321"/>
      <c r="C24" s="245">
        <f xml:space="preserve"> 'Print Sheet'!B36 * 'Hull Design'!G4</f>
        <v>35.214080151315692</v>
      </c>
      <c r="D24" s="245" t="s">
        <v>842</v>
      </c>
      <c r="K24" s="315" t="s">
        <v>81</v>
      </c>
      <c r="L24" s="315"/>
      <c r="M24" s="315"/>
    </row>
    <row r="25" spans="1:15">
      <c r="A25" s="315" t="s">
        <v>16</v>
      </c>
      <c r="B25" s="315"/>
      <c r="C25" s="245" t="s">
        <v>17</v>
      </c>
      <c r="D25" s="245">
        <f xml:space="preserve"> Engine!B8 / C24</f>
        <v>11.643069994678855</v>
      </c>
      <c r="E25" s="245" t="s">
        <v>843</v>
      </c>
      <c r="K25" s="257"/>
      <c r="L25" s="257"/>
      <c r="M25" s="315" t="s">
        <v>82</v>
      </c>
      <c r="N25" s="315"/>
    </row>
    <row r="26" spans="1:15">
      <c r="A26" s="315"/>
      <c r="B26" s="315"/>
      <c r="C26" s="245" t="s">
        <v>15</v>
      </c>
      <c r="D26" s="245">
        <f xml:space="preserve"> Engine!B8 / C23</f>
        <v>10.740377230379824</v>
      </c>
      <c r="E26" s="245" t="s">
        <v>843</v>
      </c>
      <c r="K26" s="315" t="s">
        <v>83</v>
      </c>
      <c r="L26" s="315"/>
      <c r="M26" s="315"/>
    </row>
    <row r="27" spans="1:15">
      <c r="A27" s="315" t="s">
        <v>18</v>
      </c>
      <c r="B27" s="315"/>
      <c r="C27" s="245">
        <f xml:space="preserve"> 'Print Sheet'!B40 / 'Hull Design'!G8</f>
        <v>10.381687329891419</v>
      </c>
      <c r="D27" s="245" t="s">
        <v>836</v>
      </c>
      <c r="K27" s="315" t="s">
        <v>84</v>
      </c>
      <c r="L27" s="315"/>
      <c r="M27" s="315"/>
    </row>
    <row r="28" spans="1:15">
      <c r="A28" s="258"/>
      <c r="B28" s="258"/>
      <c r="K28" s="315" t="s">
        <v>85</v>
      </c>
      <c r="L28" s="315"/>
      <c r="M28" s="315"/>
    </row>
    <row r="29" spans="1:15">
      <c r="A29" s="258"/>
      <c r="M29" s="315" t="s">
        <v>86</v>
      </c>
      <c r="N29" s="315"/>
    </row>
    <row r="32" spans="1:15">
      <c r="A32" s="259" t="s">
        <v>19</v>
      </c>
      <c r="L32" s="318" t="s">
        <v>87</v>
      </c>
      <c r="M32" s="318"/>
    </row>
    <row r="33" spans="1:18">
      <c r="A33" s="245" t="s">
        <v>20</v>
      </c>
      <c r="B33" s="245" t="s">
        <v>21</v>
      </c>
      <c r="C33" s="319"/>
      <c r="D33" s="319"/>
      <c r="E33" s="319"/>
      <c r="F33" s="319"/>
      <c r="G33" s="319"/>
      <c r="H33" s="319"/>
      <c r="L33" s="315" t="s">
        <v>88</v>
      </c>
      <c r="M33" s="315"/>
      <c r="N33" s="319" t="str">
        <f xml:space="preserve"> Drivetrain!B3</f>
        <v>Horziontal Volute Spring Suspesion (HVSS) ?</v>
      </c>
      <c r="O33" s="319"/>
      <c r="P33" s="319"/>
      <c r="Q33" s="319"/>
      <c r="R33" s="319"/>
    </row>
    <row r="34" spans="1:18">
      <c r="B34" s="245" t="s">
        <v>22</v>
      </c>
      <c r="C34" s="319"/>
      <c r="D34" s="319"/>
      <c r="E34" s="319"/>
      <c r="F34" s="319"/>
      <c r="G34" s="319"/>
      <c r="H34" s="319"/>
    </row>
    <row r="35" spans="1:18">
      <c r="B35" s="245" t="s">
        <v>23</v>
      </c>
      <c r="C35" s="319" t="str">
        <f xml:space="preserve"> 'Turret Design'!C4</f>
        <v>360 Rotating</v>
      </c>
      <c r="D35" s="319"/>
      <c r="E35" s="319"/>
      <c r="F35" s="319"/>
      <c r="G35" s="319"/>
      <c r="H35" s="319"/>
    </row>
    <row r="37" spans="1:18">
      <c r="A37" s="245" t="s">
        <v>28</v>
      </c>
      <c r="D37" s="320" t="s">
        <v>29</v>
      </c>
      <c r="E37" s="320"/>
      <c r="F37" s="320"/>
      <c r="H37" s="320" t="s">
        <v>30</v>
      </c>
      <c r="I37" s="320"/>
      <c r="J37" s="320"/>
    </row>
    <row r="38" spans="1:18">
      <c r="B38" s="245" t="s">
        <v>27</v>
      </c>
      <c r="C38" s="245" t="s">
        <v>25</v>
      </c>
      <c r="D38" s="320">
        <f xml:space="preserve"> 'Hull Design'!C49</f>
        <v>64</v>
      </c>
      <c r="E38" s="320"/>
      <c r="F38" s="320"/>
      <c r="H38" s="320">
        <f xml:space="preserve"> SUM('Hull Design'!D40:D48)</f>
        <v>93.841867880935993</v>
      </c>
      <c r="I38" s="320"/>
      <c r="J38" s="320"/>
    </row>
    <row r="39" spans="1:18">
      <c r="C39" s="245" t="s">
        <v>26</v>
      </c>
      <c r="D39" s="320">
        <f xml:space="preserve"> 'Hull Design'!C72</f>
        <v>51</v>
      </c>
      <c r="E39" s="320"/>
      <c r="F39" s="320"/>
      <c r="H39" s="320">
        <f xml:space="preserve"> SUM('Hull Design'!D63:D71)</f>
        <v>91.20287414854144</v>
      </c>
      <c r="I39" s="320"/>
      <c r="J39" s="320"/>
    </row>
    <row r="41" spans="1:18">
      <c r="B41" s="245" t="s">
        <v>31</v>
      </c>
      <c r="C41" s="245" t="s">
        <v>25</v>
      </c>
      <c r="D41" s="320">
        <f xml:space="preserve"> 'Hull Design'!C109 + IF('Hull Design'!C137 &gt; 0.5, 'Hull Design'!C145, 0)</f>
        <v>38</v>
      </c>
      <c r="E41" s="320"/>
      <c r="F41" s="320"/>
      <c r="H41" s="320">
        <f xml:space="preserve"> SUM('Hull Design'!D100:D108) + IF('Hull Design'!C137 &gt; 0.5, 'Hull Design'!C145, 0)</f>
        <v>38</v>
      </c>
      <c r="I41" s="320"/>
      <c r="J41" s="320"/>
      <c r="L41" s="315" t="s">
        <v>89</v>
      </c>
      <c r="M41" s="315"/>
    </row>
    <row r="42" spans="1:18">
      <c r="C42" s="245" t="s">
        <v>26</v>
      </c>
      <c r="D42" s="320">
        <f xml:space="preserve"> 'Hull Design'!C131 + 'Hull Design'!C145</f>
        <v>38</v>
      </c>
      <c r="E42" s="320"/>
      <c r="F42" s="320"/>
      <c r="H42" s="320">
        <f xml:space="preserve"> SUM('Hull Design'!D122:D130) + 'Hull Design'!C145</f>
        <v>38</v>
      </c>
      <c r="I42" s="320"/>
      <c r="J42" s="320"/>
      <c r="N42" s="257" t="s">
        <v>90</v>
      </c>
    </row>
    <row r="44" spans="1:18">
      <c r="B44" s="245" t="s">
        <v>32</v>
      </c>
      <c r="C44" s="245" t="s">
        <v>25</v>
      </c>
      <c r="D44" s="320">
        <f xml:space="preserve"> 'Hull Design'!C177</f>
        <v>38</v>
      </c>
      <c r="E44" s="320"/>
      <c r="F44" s="320"/>
      <c r="H44" s="320">
        <f xml:space="preserve"> SUM('Hull Design'!D168:D176)</f>
        <v>38.586211251658312</v>
      </c>
      <c r="I44" s="320"/>
      <c r="J44" s="320"/>
    </row>
    <row r="45" spans="1:18">
      <c r="C45" s="245" t="s">
        <v>26</v>
      </c>
      <c r="D45" s="320">
        <f xml:space="preserve"> 'Hull Design'!C200</f>
        <v>38</v>
      </c>
      <c r="E45" s="320"/>
      <c r="F45" s="320"/>
      <c r="H45" s="320">
        <f xml:space="preserve"> SUM('Hull Design'!D191:D199)</f>
        <v>38</v>
      </c>
      <c r="I45" s="320"/>
      <c r="J45" s="320"/>
    </row>
    <row r="47" spans="1:18">
      <c r="B47" s="245" t="s">
        <v>33</v>
      </c>
      <c r="D47" s="320">
        <f xml:space="preserve"> 'Hull Design'!C236</f>
        <v>25</v>
      </c>
      <c r="E47" s="320"/>
      <c r="F47" s="320"/>
      <c r="H47" s="320">
        <f xml:space="preserve"> 'Hull Design'!C236</f>
        <v>25</v>
      </c>
      <c r="I47" s="320"/>
      <c r="J47" s="320"/>
      <c r="L47" s="315" t="s">
        <v>91</v>
      </c>
      <c r="M47" s="315"/>
    </row>
    <row r="48" spans="1:18">
      <c r="D48" s="258"/>
      <c r="E48" s="258"/>
      <c r="F48" s="258"/>
      <c r="H48" s="258"/>
      <c r="I48" s="258"/>
      <c r="J48" s="258"/>
      <c r="L48" s="315" t="s">
        <v>92</v>
      </c>
      <c r="M48" s="315"/>
    </row>
    <row r="49" spans="1:13">
      <c r="B49" s="245" t="s">
        <v>34</v>
      </c>
      <c r="D49" s="320">
        <f xml:space="preserve"> 'Hull Design'!C259</f>
        <v>13</v>
      </c>
      <c r="E49" s="320"/>
      <c r="F49" s="320"/>
      <c r="H49" s="320">
        <f xml:space="preserve"> 'Hull Design'!C259</f>
        <v>13</v>
      </c>
      <c r="I49" s="320"/>
      <c r="J49" s="320"/>
      <c r="K49" s="315" t="s">
        <v>93</v>
      </c>
      <c r="L49" s="315"/>
      <c r="M49" s="315"/>
    </row>
    <row r="50" spans="1:13">
      <c r="D50" s="258"/>
      <c r="E50" s="258"/>
      <c r="F50" s="258"/>
      <c r="H50" s="258"/>
      <c r="I50" s="258"/>
      <c r="J50" s="258"/>
    </row>
    <row r="51" spans="1:13">
      <c r="D51" s="258"/>
      <c r="E51" s="258"/>
      <c r="F51" s="258"/>
      <c r="H51" s="258"/>
      <c r="I51" s="258"/>
      <c r="J51" s="258"/>
    </row>
    <row r="52" spans="1:13">
      <c r="A52" s="245" t="s">
        <v>35</v>
      </c>
      <c r="L52" s="318" t="s">
        <v>94</v>
      </c>
      <c r="M52" s="318"/>
    </row>
    <row r="53" spans="1:13">
      <c r="B53" s="245" t="s">
        <v>36</v>
      </c>
      <c r="D53" s="320">
        <f xml:space="preserve"> 'Turret Design'!C30</f>
        <v>89</v>
      </c>
      <c r="E53" s="320"/>
      <c r="F53" s="320"/>
      <c r="H53" s="320" t="str">
        <f xml:space="preserve"> IF('Turret Design'!C21 = "Curved", 'Turret Design'!C31 &amp; " to " &amp; 'Turret Design'!D31, 'Turret Design'!C31)</f>
        <v>89.00 to 125.87</v>
      </c>
      <c r="I53" s="320"/>
      <c r="J53" s="320"/>
      <c r="M53" s="245" t="s">
        <v>95</v>
      </c>
    </row>
    <row r="54" spans="1:13">
      <c r="B54" s="245" t="s">
        <v>24</v>
      </c>
      <c r="D54" s="320">
        <f xml:space="preserve"> 'Turret Design'!C52</f>
        <v>64</v>
      </c>
      <c r="E54" s="320"/>
      <c r="F54" s="320"/>
      <c r="H54" s="320">
        <f xml:space="preserve"> SUM('Turret Design'!D43:D51)</f>
        <v>90.509667991878075</v>
      </c>
      <c r="I54" s="320"/>
      <c r="J54" s="320"/>
      <c r="M54" s="245" t="s">
        <v>96</v>
      </c>
    </row>
    <row r="55" spans="1:13">
      <c r="B55" s="245" t="s">
        <v>31</v>
      </c>
      <c r="D55" s="320">
        <f xml:space="preserve"> 'Turret Design'!C81</f>
        <v>64</v>
      </c>
      <c r="E55" s="320"/>
      <c r="F55" s="320"/>
      <c r="H55" s="320">
        <f xml:space="preserve"> SUM('Turret Design'!D72:D80)</f>
        <v>65.683462898777066</v>
      </c>
      <c r="I55" s="320"/>
      <c r="J55" s="320"/>
      <c r="M55" s="245" t="s">
        <v>97</v>
      </c>
    </row>
    <row r="56" spans="1:13">
      <c r="B56" s="245" t="s">
        <v>32</v>
      </c>
      <c r="D56" s="320">
        <f xml:space="preserve"> 'Turret Design'!C106 + ('Big Gun'!B35 * 1000^2 / (Lookup!B154 * 'Turret Design'!C93 * 10))</f>
        <v>64</v>
      </c>
      <c r="E56" s="320"/>
      <c r="F56" s="320"/>
      <c r="H56" s="320">
        <f xml:space="preserve"> SUM('Turret Design'!D97:D105) + ('Big Gun'!B35 * 1000^2 / (Lookup!B154 * 'Turret Design'!C93 * 10))</f>
        <v>64</v>
      </c>
      <c r="I56" s="320"/>
      <c r="J56" s="320"/>
      <c r="M56" s="245" t="s">
        <v>98</v>
      </c>
    </row>
    <row r="57" spans="1:13">
      <c r="B57" s="245" t="s">
        <v>33</v>
      </c>
      <c r="D57" s="320">
        <f xml:space="preserve"> ('Turret Design'!C134 + 'Turret Design'!C148) / 2</f>
        <v>25</v>
      </c>
      <c r="E57" s="320"/>
      <c r="F57" s="320"/>
      <c r="H57" s="320">
        <f xml:space="preserve"> (SUM('Turret Design'!D125:D133) + SUM('Turret Design'!D139:D147)) / 2</f>
        <v>25</v>
      </c>
      <c r="I57" s="320"/>
      <c r="J57" s="320"/>
    </row>
    <row r="58" spans="1:13">
      <c r="D58" s="258"/>
      <c r="E58" s="258"/>
      <c r="F58" s="258"/>
      <c r="H58" s="258"/>
      <c r="I58" s="258"/>
      <c r="J58" s="258"/>
      <c r="L58" s="318" t="s">
        <v>99</v>
      </c>
      <c r="M58" s="318"/>
    </row>
    <row r="59" spans="1:13">
      <c r="M59" s="245" t="s">
        <v>100</v>
      </c>
    </row>
    <row r="60" spans="1:13">
      <c r="A60" s="318" t="s">
        <v>37</v>
      </c>
      <c r="B60" s="318"/>
      <c r="M60" s="245" t="s">
        <v>101</v>
      </c>
    </row>
    <row r="61" spans="1:13">
      <c r="A61" s="261" t="s">
        <v>50</v>
      </c>
      <c r="B61" s="261"/>
    </row>
    <row r="62" spans="1:13">
      <c r="A62" s="315" t="s">
        <v>38</v>
      </c>
      <c r="B62" s="315"/>
      <c r="C62" s="258"/>
      <c r="D62" s="258"/>
      <c r="E62" s="258"/>
      <c r="F62" s="258"/>
      <c r="G62" s="258"/>
      <c r="H62" s="258"/>
      <c r="I62" s="258"/>
      <c r="J62" s="258"/>
    </row>
    <row r="63" spans="1:13">
      <c r="A63" s="315" t="s">
        <v>39</v>
      </c>
      <c r="B63" s="315"/>
    </row>
    <row r="64" spans="1:13">
      <c r="A64" s="315" t="s">
        <v>40</v>
      </c>
      <c r="B64" s="315"/>
    </row>
    <row r="65" spans="1:19">
      <c r="A65" s="315" t="s">
        <v>46</v>
      </c>
      <c r="B65" s="315"/>
      <c r="L65" s="318" t="s">
        <v>102</v>
      </c>
      <c r="M65" s="318"/>
    </row>
    <row r="66" spans="1:19">
      <c r="A66" s="315" t="s">
        <v>47</v>
      </c>
      <c r="B66" s="315"/>
    </row>
    <row r="67" spans="1:19">
      <c r="A67" s="315" t="s">
        <v>48</v>
      </c>
      <c r="B67" s="315"/>
    </row>
    <row r="68" spans="1:19">
      <c r="A68" s="315" t="s">
        <v>49</v>
      </c>
      <c r="B68" s="315"/>
    </row>
    <row r="69" spans="1:19">
      <c r="A69" s="258"/>
      <c r="B69" s="258"/>
    </row>
    <row r="70" spans="1:19">
      <c r="A70" s="245" t="s">
        <v>51</v>
      </c>
      <c r="L70" s="318" t="s">
        <v>103</v>
      </c>
      <c r="M70" s="318"/>
    </row>
    <row r="71" spans="1:19">
      <c r="B71" s="257" t="s">
        <v>52</v>
      </c>
      <c r="M71" s="245" t="s">
        <v>1033</v>
      </c>
      <c r="Q71" s="245">
        <f xml:space="preserve"> D25 * 'Hull Design'!G11 * 2.825</f>
        <v>29.871707356970333</v>
      </c>
      <c r="R71" s="245" t="s">
        <v>835</v>
      </c>
      <c r="S71" s="245">
        <f xml:space="preserve"> D25 * 'Hull Design'!G11 * 1.8125</f>
        <v>19.165475959118133</v>
      </c>
    </row>
    <row r="72" spans="1:19">
      <c r="B72" s="257" t="s">
        <v>53</v>
      </c>
      <c r="M72" s="245" t="s">
        <v>1032</v>
      </c>
      <c r="Q72" s="245">
        <f xml:space="preserve"> D26 * 'Hull Design'!G11 * 2.55</f>
        <v>24.873322518198904</v>
      </c>
      <c r="R72" s="245" t="s">
        <v>835</v>
      </c>
      <c r="S72" s="245">
        <f xml:space="preserve"> D26 * 'Hull Design'!G11 * 1.8125</f>
        <v>17.679567476170792</v>
      </c>
    </row>
    <row r="73" spans="1:19">
      <c r="A73" s="315" t="s">
        <v>54</v>
      </c>
      <c r="B73" s="315"/>
      <c r="M73" s="245" t="s">
        <v>104</v>
      </c>
    </row>
    <row r="74" spans="1:19">
      <c r="A74" s="315" t="s">
        <v>54</v>
      </c>
      <c r="B74" s="315"/>
      <c r="N74" s="245" t="s">
        <v>105</v>
      </c>
    </row>
    <row r="75" spans="1:19">
      <c r="A75" s="258"/>
      <c r="B75" s="258"/>
      <c r="M75" s="245" t="s">
        <v>106</v>
      </c>
    </row>
    <row r="76" spans="1:19">
      <c r="A76" s="318" t="s">
        <v>55</v>
      </c>
      <c r="B76" s="318"/>
      <c r="M76" s="245" t="s">
        <v>107</v>
      </c>
    </row>
    <row r="77" spans="1:19">
      <c r="A77" s="260"/>
      <c r="B77" s="283" t="s">
        <v>903</v>
      </c>
      <c r="C77" s="245" t="str">
        <f xml:space="preserve"> 'Big Gun'!B6</f>
        <v>APCBC</v>
      </c>
      <c r="M77" s="245" t="s">
        <v>108</v>
      </c>
    </row>
    <row r="78" spans="1:19">
      <c r="B78" s="280" t="s">
        <v>904</v>
      </c>
      <c r="C78" s="245" t="str">
        <f xml:space="preserve"> 'Big Gun'!B8</f>
        <v>HVAP</v>
      </c>
      <c r="M78" s="245" t="s">
        <v>109</v>
      </c>
    </row>
    <row r="79" spans="1:19">
      <c r="M79" s="245" t="s">
        <v>110</v>
      </c>
    </row>
    <row r="80" spans="1:19">
      <c r="M80" s="245" t="s">
        <v>111</v>
      </c>
      <c r="Q80" s="245">
        <f xml:space="preserve"> 'Print Sheet'!B43 / 'Hull Design'!G7</f>
        <v>240.17075464328076</v>
      </c>
      <c r="R80" s="245" t="s">
        <v>1024</v>
      </c>
    </row>
    <row r="86" spans="1:9">
      <c r="A86" s="318" t="s">
        <v>56</v>
      </c>
      <c r="B86" s="318"/>
      <c r="C86" s="318"/>
    </row>
    <row r="87" spans="1:9">
      <c r="A87" s="315" t="s">
        <v>57</v>
      </c>
      <c r="B87" s="315"/>
      <c r="D87" s="320" t="s">
        <v>58</v>
      </c>
      <c r="E87" s="320"/>
      <c r="F87" s="320"/>
      <c r="G87" s="320" t="s">
        <v>59</v>
      </c>
      <c r="H87" s="320"/>
      <c r="I87" s="320"/>
    </row>
    <row r="92" spans="1:9">
      <c r="A92" s="315" t="s">
        <v>60</v>
      </c>
      <c r="B92" s="315"/>
    </row>
    <row r="93" spans="1:9">
      <c r="B93" s="257" t="s">
        <v>61</v>
      </c>
    </row>
    <row r="94" spans="1:9">
      <c r="B94" s="257"/>
    </row>
    <row r="95" spans="1:9">
      <c r="B95" s="257" t="s">
        <v>62</v>
      </c>
    </row>
    <row r="96" spans="1:9">
      <c r="B96" s="257"/>
    </row>
    <row r="97" spans="2:2">
      <c r="B97" s="257" t="s">
        <v>63</v>
      </c>
    </row>
    <row r="98" spans="2:2">
      <c r="B98" s="257"/>
    </row>
    <row r="99" spans="2:2">
      <c r="B99" s="257" t="s">
        <v>64</v>
      </c>
    </row>
  </sheetData>
  <mergeCells count="103">
    <mergeCell ref="A73:B73"/>
    <mergeCell ref="A76:B76"/>
    <mergeCell ref="D49:F49"/>
    <mergeCell ref="H49:J49"/>
    <mergeCell ref="D53:F53"/>
    <mergeCell ref="H53:J53"/>
    <mergeCell ref="N8:P8"/>
    <mergeCell ref="A68:B68"/>
    <mergeCell ref="A67:B67"/>
    <mergeCell ref="A65:B65"/>
    <mergeCell ref="A66:B66"/>
    <mergeCell ref="L32:M32"/>
    <mergeCell ref="C35:H35"/>
    <mergeCell ref="N33:R33"/>
    <mergeCell ref="D55:F55"/>
    <mergeCell ref="D54:F54"/>
    <mergeCell ref="A60:B60"/>
    <mergeCell ref="A62:B62"/>
    <mergeCell ref="L65:M65"/>
    <mergeCell ref="L58:M58"/>
    <mergeCell ref="A12:B12"/>
    <mergeCell ref="A17:B17"/>
    <mergeCell ref="A14:B14"/>
    <mergeCell ref="A23:B23"/>
    <mergeCell ref="A24:B24"/>
    <mergeCell ref="A25:B25"/>
    <mergeCell ref="A26:B26"/>
    <mergeCell ref="A92:B92"/>
    <mergeCell ref="A74:B74"/>
    <mergeCell ref="A86:C86"/>
    <mergeCell ref="A87:B87"/>
    <mergeCell ref="L33:M33"/>
    <mergeCell ref="L41:M41"/>
    <mergeCell ref="A64:B64"/>
    <mergeCell ref="A63:B63"/>
    <mergeCell ref="L47:M47"/>
    <mergeCell ref="L48:M48"/>
    <mergeCell ref="K49:M49"/>
    <mergeCell ref="L52:M52"/>
    <mergeCell ref="D57:F57"/>
    <mergeCell ref="L70:M70"/>
    <mergeCell ref="D56:F56"/>
    <mergeCell ref="H54:J54"/>
    <mergeCell ref="H55:J55"/>
    <mergeCell ref="H56:J56"/>
    <mergeCell ref="H57:J57"/>
    <mergeCell ref="D87:F87"/>
    <mergeCell ref="G87:I87"/>
    <mergeCell ref="D47:F47"/>
    <mergeCell ref="D45:F45"/>
    <mergeCell ref="D44:F44"/>
    <mergeCell ref="H44:J44"/>
    <mergeCell ref="H45:J45"/>
    <mergeCell ref="H47:J47"/>
    <mergeCell ref="D38:F38"/>
    <mergeCell ref="D37:F37"/>
    <mergeCell ref="D39:F39"/>
    <mergeCell ref="H38:J38"/>
    <mergeCell ref="H39:J39"/>
    <mergeCell ref="D41:F41"/>
    <mergeCell ref="D42:F42"/>
    <mergeCell ref="H41:J41"/>
    <mergeCell ref="H42:J42"/>
    <mergeCell ref="K26:M26"/>
    <mergeCell ref="A15:B15"/>
    <mergeCell ref="A16:B16"/>
    <mergeCell ref="C34:H34"/>
    <mergeCell ref="H37:J37"/>
    <mergeCell ref="L22:M22"/>
    <mergeCell ref="K15:M15"/>
    <mergeCell ref="K16:M16"/>
    <mergeCell ref="K17:M17"/>
    <mergeCell ref="K18:M18"/>
    <mergeCell ref="K19:M19"/>
    <mergeCell ref="K20:M20"/>
    <mergeCell ref="M29:N29"/>
    <mergeCell ref="K27:M27"/>
    <mergeCell ref="K28:M28"/>
    <mergeCell ref="C33:H33"/>
    <mergeCell ref="K23:M23"/>
    <mergeCell ref="K24:M24"/>
    <mergeCell ref="M25:N25"/>
    <mergeCell ref="A22:B22"/>
    <mergeCell ref="A27:B27"/>
    <mergeCell ref="A18:B18"/>
    <mergeCell ref="A19:B19"/>
    <mergeCell ref="A20:B20"/>
    <mergeCell ref="A21:B21"/>
    <mergeCell ref="A1:D1"/>
    <mergeCell ref="A7:B7"/>
    <mergeCell ref="A9:B9"/>
    <mergeCell ref="A10:B10"/>
    <mergeCell ref="A11:B11"/>
    <mergeCell ref="K11:M11"/>
    <mergeCell ref="K12:M12"/>
    <mergeCell ref="K13:M13"/>
    <mergeCell ref="K14:M14"/>
    <mergeCell ref="L7:M7"/>
    <mergeCell ref="K10:M10"/>
    <mergeCell ref="K8:M8"/>
    <mergeCell ref="K9:M9"/>
    <mergeCell ref="A8:B8"/>
    <mergeCell ref="A13:B13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33"/>
  <sheetViews>
    <sheetView topLeftCell="A306" workbookViewId="0">
      <selection activeCell="B274" sqref="B274"/>
    </sheetView>
  </sheetViews>
  <sheetFormatPr defaultRowHeight="15"/>
  <cols>
    <col min="1" max="1" width="57.140625" style="2" customWidth="1"/>
    <col min="2" max="2" width="23.7109375" customWidth="1"/>
    <col min="3" max="3" width="23.5703125" customWidth="1"/>
    <col min="4" max="4" width="20" customWidth="1"/>
    <col min="5" max="5" width="21.42578125" customWidth="1"/>
    <col min="6" max="6" width="23.5703125" customWidth="1"/>
  </cols>
  <sheetData>
    <row r="1" spans="1:2">
      <c r="B1" s="78" t="s">
        <v>305</v>
      </c>
    </row>
    <row r="2" spans="1:2">
      <c r="A2" s="2">
        <v>0</v>
      </c>
      <c r="B2" t="s">
        <v>306</v>
      </c>
    </row>
    <row r="3" spans="1:2">
      <c r="A3" s="2">
        <v>100</v>
      </c>
      <c r="B3" t="s">
        <v>307</v>
      </c>
    </row>
    <row r="4" spans="1:2">
      <c r="A4" s="285">
        <v>140</v>
      </c>
      <c r="B4" t="s">
        <v>913</v>
      </c>
    </row>
    <row r="5" spans="1:2">
      <c r="A5" s="287">
        <v>178</v>
      </c>
      <c r="B5" t="s">
        <v>965</v>
      </c>
    </row>
    <row r="6" spans="1:2">
      <c r="A6" s="285">
        <v>180</v>
      </c>
      <c r="B6" t="s">
        <v>915</v>
      </c>
    </row>
    <row r="7" spans="1:2">
      <c r="A7" s="2">
        <v>200</v>
      </c>
      <c r="B7" t="s">
        <v>308</v>
      </c>
    </row>
    <row r="8" spans="1:2">
      <c r="A8" s="285">
        <v>220</v>
      </c>
      <c r="B8" t="s">
        <v>914</v>
      </c>
    </row>
    <row r="9" spans="1:2">
      <c r="A9" s="2">
        <v>260</v>
      </c>
      <c r="B9" t="s">
        <v>309</v>
      </c>
    </row>
    <row r="10" spans="1:2">
      <c r="A10" s="285">
        <v>300</v>
      </c>
      <c r="B10" t="s">
        <v>921</v>
      </c>
    </row>
    <row r="11" spans="1:2">
      <c r="A11" s="284">
        <v>350</v>
      </c>
      <c r="B11" t="s">
        <v>912</v>
      </c>
    </row>
    <row r="12" spans="1:2">
      <c r="A12" s="285">
        <v>400</v>
      </c>
      <c r="B12" t="s">
        <v>916</v>
      </c>
    </row>
    <row r="13" spans="1:2">
      <c r="A13" s="285">
        <v>420</v>
      </c>
      <c r="B13" t="s">
        <v>918</v>
      </c>
    </row>
    <row r="14" spans="1:2" ht="14.25" customHeight="1">
      <c r="A14" s="2">
        <v>500</v>
      </c>
      <c r="B14" t="s">
        <v>919</v>
      </c>
    </row>
    <row r="15" spans="1:2">
      <c r="A15" s="2">
        <v>600</v>
      </c>
      <c r="B15" t="s">
        <v>920</v>
      </c>
    </row>
    <row r="16" spans="1:2">
      <c r="A16" s="2">
        <v>700</v>
      </c>
      <c r="B16" t="s">
        <v>310</v>
      </c>
    </row>
    <row r="17" spans="1:2">
      <c r="A17" s="2">
        <v>800</v>
      </c>
      <c r="B17" t="s">
        <v>922</v>
      </c>
    </row>
    <row r="18" spans="1:2">
      <c r="A18" s="285">
        <v>900</v>
      </c>
      <c r="B18" t="s">
        <v>917</v>
      </c>
    </row>
    <row r="19" spans="1:2">
      <c r="A19" s="2">
        <v>1000</v>
      </c>
      <c r="B19" t="s">
        <v>311</v>
      </c>
    </row>
    <row r="20" spans="1:2">
      <c r="A20" s="2">
        <v>1100</v>
      </c>
      <c r="B20" t="s">
        <v>312</v>
      </c>
    </row>
    <row r="21" spans="1:2">
      <c r="A21" s="2">
        <v>1250</v>
      </c>
      <c r="B21" t="s">
        <v>313</v>
      </c>
    </row>
    <row r="23" spans="1:2">
      <c r="B23" s="78" t="s">
        <v>314</v>
      </c>
    </row>
    <row r="24" spans="1:2">
      <c r="A24" s="2">
        <v>0</v>
      </c>
      <c r="B24" t="s">
        <v>306</v>
      </c>
    </row>
    <row r="25" spans="1:2">
      <c r="A25" s="2">
        <v>10</v>
      </c>
      <c r="B25" t="s">
        <v>315</v>
      </c>
    </row>
    <row r="26" spans="1:2">
      <c r="A26" s="2">
        <v>17</v>
      </c>
      <c r="B26" t="s">
        <v>316</v>
      </c>
    </row>
    <row r="27" spans="1:2">
      <c r="A27" s="2">
        <v>19</v>
      </c>
      <c r="B27" t="s">
        <v>317</v>
      </c>
    </row>
    <row r="28" spans="1:2">
      <c r="A28" s="2">
        <v>22</v>
      </c>
      <c r="B28" t="s">
        <v>318</v>
      </c>
    </row>
    <row r="29" spans="1:2">
      <c r="A29" s="2">
        <v>29</v>
      </c>
      <c r="B29" t="s">
        <v>319</v>
      </c>
    </row>
    <row r="30" spans="1:2">
      <c r="A30" s="2">
        <v>44</v>
      </c>
      <c r="B30" t="s">
        <v>320</v>
      </c>
    </row>
    <row r="31" spans="1:2">
      <c r="A31" s="2">
        <v>50</v>
      </c>
      <c r="B31" t="s">
        <v>321</v>
      </c>
    </row>
    <row r="32" spans="1:2">
      <c r="A32" s="2">
        <v>66</v>
      </c>
      <c r="B32" t="s">
        <v>322</v>
      </c>
    </row>
    <row r="33" spans="1:2">
      <c r="A33" s="285">
        <v>77</v>
      </c>
      <c r="B33" t="s">
        <v>323</v>
      </c>
    </row>
    <row r="34" spans="1:2">
      <c r="A34" s="2">
        <v>80</v>
      </c>
      <c r="B34" t="s">
        <v>324</v>
      </c>
    </row>
    <row r="35" spans="1:2">
      <c r="A35" s="285">
        <v>88.4</v>
      </c>
      <c r="B35" t="s">
        <v>935</v>
      </c>
    </row>
    <row r="36" spans="1:2">
      <c r="A36" s="2">
        <v>97</v>
      </c>
      <c r="B36" t="s">
        <v>325</v>
      </c>
    </row>
    <row r="37" spans="1:2">
      <c r="A37" s="285">
        <v>102</v>
      </c>
      <c r="B37" t="s">
        <v>924</v>
      </c>
    </row>
    <row r="38" spans="1:2">
      <c r="A38" s="2">
        <v>102.2</v>
      </c>
      <c r="B38" t="s">
        <v>934</v>
      </c>
    </row>
    <row r="39" spans="1:2">
      <c r="A39" s="285">
        <v>113.6</v>
      </c>
      <c r="B39" t="s">
        <v>928</v>
      </c>
    </row>
    <row r="40" spans="1:2">
      <c r="A40" s="289">
        <v>127.4</v>
      </c>
      <c r="B40" t="s">
        <v>937</v>
      </c>
    </row>
    <row r="41" spans="1:2">
      <c r="A41" s="285">
        <v>131</v>
      </c>
      <c r="B41" t="s">
        <v>326</v>
      </c>
    </row>
    <row r="42" spans="1:2">
      <c r="A42" s="285">
        <v>136.6</v>
      </c>
      <c r="B42" t="s">
        <v>939</v>
      </c>
    </row>
    <row r="43" spans="1:2">
      <c r="A43" s="289">
        <v>140</v>
      </c>
      <c r="B43" t="s">
        <v>947</v>
      </c>
    </row>
    <row r="44" spans="1:2">
      <c r="A44" s="289">
        <v>145</v>
      </c>
      <c r="B44" t="s">
        <v>327</v>
      </c>
    </row>
    <row r="45" spans="1:2">
      <c r="A45" s="289">
        <v>145.80000000000001</v>
      </c>
      <c r="B45" t="s">
        <v>940</v>
      </c>
    </row>
    <row r="46" spans="1:2">
      <c r="A46" s="289">
        <v>150</v>
      </c>
      <c r="B46" t="s">
        <v>933</v>
      </c>
    </row>
    <row r="47" spans="1:2">
      <c r="A47" s="2">
        <v>150.4</v>
      </c>
      <c r="B47" t="s">
        <v>946</v>
      </c>
    </row>
    <row r="48" spans="1:2">
      <c r="A48" s="285">
        <v>154.5</v>
      </c>
      <c r="B48" t="s">
        <v>945</v>
      </c>
    </row>
    <row r="49" spans="1:2">
      <c r="A49" s="285">
        <v>158.4</v>
      </c>
      <c r="B49" t="s">
        <v>929</v>
      </c>
    </row>
    <row r="50" spans="1:2">
      <c r="A50" s="289">
        <v>170</v>
      </c>
      <c r="B50" t="s">
        <v>923</v>
      </c>
    </row>
    <row r="51" spans="1:2">
      <c r="A51" s="289">
        <v>171</v>
      </c>
      <c r="B51" t="s">
        <v>938</v>
      </c>
    </row>
    <row r="52" spans="1:2">
      <c r="A52" s="289">
        <v>172.2</v>
      </c>
      <c r="B52" t="s">
        <v>944</v>
      </c>
    </row>
    <row r="53" spans="1:2">
      <c r="A53" s="289">
        <v>180.2</v>
      </c>
      <c r="B53" t="s">
        <v>926</v>
      </c>
    </row>
    <row r="54" spans="1:2">
      <c r="A54" s="289">
        <v>185</v>
      </c>
      <c r="B54" t="s">
        <v>925</v>
      </c>
    </row>
    <row r="55" spans="1:2">
      <c r="A55" s="289">
        <v>189.4</v>
      </c>
      <c r="B55" t="s">
        <v>930</v>
      </c>
    </row>
    <row r="56" spans="1:2">
      <c r="A56" s="289">
        <v>189.5</v>
      </c>
      <c r="B56" t="s">
        <v>943</v>
      </c>
    </row>
    <row r="57" spans="1:2">
      <c r="A57" s="289">
        <v>221.5</v>
      </c>
      <c r="B57" t="s">
        <v>931</v>
      </c>
    </row>
    <row r="58" spans="1:2">
      <c r="A58" s="289">
        <v>227.4</v>
      </c>
      <c r="B58" t="s">
        <v>942</v>
      </c>
    </row>
    <row r="59" spans="1:2">
      <c r="A59" s="289">
        <v>229.6</v>
      </c>
      <c r="B59" t="s">
        <v>932</v>
      </c>
    </row>
    <row r="60" spans="1:2">
      <c r="A60" s="289">
        <v>230</v>
      </c>
      <c r="B60" t="s">
        <v>328</v>
      </c>
    </row>
    <row r="61" spans="1:2">
      <c r="A61" s="289">
        <v>240</v>
      </c>
      <c r="B61" t="s">
        <v>941</v>
      </c>
    </row>
    <row r="62" spans="1:2">
      <c r="A62" s="289">
        <v>241</v>
      </c>
      <c r="B62" t="s">
        <v>927</v>
      </c>
    </row>
    <row r="63" spans="1:2">
      <c r="A63" s="289">
        <v>250</v>
      </c>
      <c r="B63" t="s">
        <v>329</v>
      </c>
    </row>
    <row r="64" spans="1:2">
      <c r="A64" s="289">
        <v>253.7</v>
      </c>
      <c r="B64" t="s">
        <v>948</v>
      </c>
    </row>
    <row r="65" spans="1:2">
      <c r="A65" s="289">
        <v>271</v>
      </c>
      <c r="B65" t="s">
        <v>330</v>
      </c>
    </row>
    <row r="66" spans="1:2">
      <c r="A66" s="289">
        <v>280</v>
      </c>
      <c r="B66" t="s">
        <v>936</v>
      </c>
    </row>
    <row r="67" spans="1:2">
      <c r="A67" s="2">
        <v>350</v>
      </c>
      <c r="B67" t="s">
        <v>331</v>
      </c>
    </row>
    <row r="68" spans="1:2">
      <c r="A68" s="2">
        <v>450</v>
      </c>
      <c r="B68" t="s">
        <v>332</v>
      </c>
    </row>
    <row r="69" spans="1:2">
      <c r="A69" s="2">
        <v>500</v>
      </c>
      <c r="B69" t="s">
        <v>333</v>
      </c>
    </row>
    <row r="70" spans="1:2">
      <c r="A70" s="2">
        <v>540</v>
      </c>
      <c r="B70" t="s">
        <v>334</v>
      </c>
    </row>
    <row r="71" spans="1:2">
      <c r="A71" s="2">
        <v>580</v>
      </c>
      <c r="B71" t="s">
        <v>335</v>
      </c>
    </row>
    <row r="72" spans="1:2">
      <c r="A72" s="2">
        <v>600</v>
      </c>
      <c r="B72" t="s">
        <v>336</v>
      </c>
    </row>
    <row r="73" spans="1:2">
      <c r="A73" s="2">
        <v>650</v>
      </c>
      <c r="B73" t="s">
        <v>337</v>
      </c>
    </row>
    <row r="74" spans="1:2">
      <c r="A74" s="2">
        <v>720</v>
      </c>
      <c r="B74" t="s">
        <v>338</v>
      </c>
    </row>
    <row r="75" spans="1:2">
      <c r="A75" s="2">
        <v>760</v>
      </c>
      <c r="B75" t="s">
        <v>339</v>
      </c>
    </row>
    <row r="76" spans="1:2">
      <c r="A76" s="2">
        <v>770</v>
      </c>
      <c r="B76" t="s">
        <v>340</v>
      </c>
    </row>
    <row r="77" spans="1:2">
      <c r="A77" s="2">
        <v>795</v>
      </c>
      <c r="B77" t="s">
        <v>341</v>
      </c>
    </row>
    <row r="78" spans="1:2">
      <c r="A78" s="2">
        <v>810</v>
      </c>
      <c r="B78" t="s">
        <v>342</v>
      </c>
    </row>
    <row r="79" spans="1:2">
      <c r="A79" s="2">
        <v>850</v>
      </c>
      <c r="B79" t="s">
        <v>343</v>
      </c>
    </row>
    <row r="80" spans="1:2">
      <c r="A80" s="2">
        <v>935</v>
      </c>
      <c r="B80" t="s">
        <v>344</v>
      </c>
    </row>
    <row r="82" spans="1:6">
      <c r="A82" s="77" t="s">
        <v>345</v>
      </c>
      <c r="B82" s="77" t="s">
        <v>346</v>
      </c>
      <c r="C82" s="77" t="s">
        <v>347</v>
      </c>
      <c r="D82" s="77" t="s">
        <v>348</v>
      </c>
      <c r="E82" s="77" t="s">
        <v>349</v>
      </c>
      <c r="F82" s="77" t="s">
        <v>350</v>
      </c>
    </row>
    <row r="83" spans="1:6">
      <c r="A83" s="1">
        <v>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</row>
    <row r="84" spans="1:6">
      <c r="A84" s="1">
        <v>20</v>
      </c>
      <c r="B84" s="1">
        <v>12.66</v>
      </c>
      <c r="C84" s="1">
        <v>62</v>
      </c>
      <c r="D84" s="1">
        <v>0.2</v>
      </c>
      <c r="E84" s="1">
        <v>0.02</v>
      </c>
      <c r="F84" s="1">
        <v>0.04</v>
      </c>
    </row>
    <row r="85" spans="1:6">
      <c r="A85" s="1">
        <v>25</v>
      </c>
      <c r="B85" s="1">
        <v>14.41</v>
      </c>
      <c r="C85" s="1">
        <v>70.53</v>
      </c>
      <c r="D85" s="1">
        <v>0.3</v>
      </c>
      <c r="E85" s="1">
        <v>3.125E-2</v>
      </c>
      <c r="F85" s="1">
        <v>6.25E-2</v>
      </c>
    </row>
    <row r="86" spans="1:6">
      <c r="A86" s="1">
        <v>35</v>
      </c>
      <c r="B86" s="1">
        <v>40</v>
      </c>
      <c r="C86" s="1">
        <v>200</v>
      </c>
      <c r="D86" s="1">
        <v>0.4</v>
      </c>
      <c r="E86" s="1">
        <v>6.1249999999999999E-2</v>
      </c>
      <c r="F86" s="1">
        <v>0.1225</v>
      </c>
    </row>
    <row r="87" spans="1:6">
      <c r="A87" s="1">
        <v>40</v>
      </c>
      <c r="B87" s="1">
        <v>45.54</v>
      </c>
      <c r="C87" s="1">
        <v>227.7</v>
      </c>
      <c r="D87" s="1">
        <v>0.4</v>
      </c>
      <c r="E87" s="1">
        <v>0.08</v>
      </c>
      <c r="F87" s="1">
        <v>0.16</v>
      </c>
    </row>
    <row r="88" spans="1:6">
      <c r="A88" s="1">
        <v>90</v>
      </c>
      <c r="B88" s="1">
        <v>438.62</v>
      </c>
      <c r="C88" s="1">
        <v>2147.1999999999998</v>
      </c>
      <c r="D88" s="1">
        <v>0.9</v>
      </c>
      <c r="E88" s="1">
        <v>0.40500000000000003</v>
      </c>
      <c r="F88" s="1">
        <v>0.81</v>
      </c>
    </row>
    <row r="89" spans="1:6">
      <c r="A89" s="1">
        <v>120</v>
      </c>
      <c r="B89" s="1">
        <v>508.02</v>
      </c>
      <c r="C89" s="1">
        <v>2486.94</v>
      </c>
      <c r="D89" s="1">
        <v>1.2</v>
      </c>
      <c r="E89" s="1">
        <v>0.72</v>
      </c>
      <c r="F89" s="1">
        <v>1.44</v>
      </c>
    </row>
    <row r="90" spans="1:6">
      <c r="A90" s="1">
        <v>140</v>
      </c>
      <c r="B90" s="1">
        <v>550</v>
      </c>
      <c r="C90" s="1">
        <v>2600</v>
      </c>
      <c r="D90" s="1">
        <v>1.4</v>
      </c>
      <c r="E90" s="1">
        <v>0.98</v>
      </c>
      <c r="F90" s="1">
        <v>1.96</v>
      </c>
    </row>
    <row r="91" spans="1:6">
      <c r="A91" s="1">
        <v>175</v>
      </c>
      <c r="B91" s="1">
        <v>793.78</v>
      </c>
      <c r="C91" s="1">
        <v>3885.83</v>
      </c>
      <c r="D91" s="1">
        <v>1.8</v>
      </c>
      <c r="E91" s="1">
        <v>1.53125</v>
      </c>
      <c r="F91" s="1">
        <v>3.0625</v>
      </c>
    </row>
    <row r="92" spans="1:6">
      <c r="A92" s="1">
        <v>230</v>
      </c>
      <c r="B92" s="1">
        <v>1078.78</v>
      </c>
      <c r="C92" s="1">
        <v>5284.83</v>
      </c>
      <c r="D92" s="1">
        <v>2.2999999999999998</v>
      </c>
      <c r="E92" s="1">
        <v>2.645</v>
      </c>
      <c r="F92" s="1">
        <v>5.29</v>
      </c>
    </row>
    <row r="93" spans="1:6">
      <c r="A93" s="1">
        <v>285</v>
      </c>
      <c r="B93" s="1">
        <v>1363.78</v>
      </c>
      <c r="C93" s="1">
        <v>6683.83</v>
      </c>
      <c r="D93" s="1">
        <v>2.9</v>
      </c>
      <c r="E93" s="1">
        <v>4.0612500000000002</v>
      </c>
      <c r="F93" s="1">
        <v>8.1225000000000005</v>
      </c>
    </row>
    <row r="94" spans="1:6">
      <c r="A94" s="1">
        <v>340</v>
      </c>
      <c r="B94" s="1">
        <v>1648.78</v>
      </c>
      <c r="C94" s="1">
        <v>8082.83</v>
      </c>
      <c r="D94" s="1">
        <v>3.4</v>
      </c>
      <c r="E94" s="1">
        <v>5.78</v>
      </c>
      <c r="F94" s="1">
        <v>11.56</v>
      </c>
    </row>
    <row r="95" spans="1:6">
      <c r="A95" s="1">
        <v>395</v>
      </c>
      <c r="B95" s="1">
        <v>1933.78</v>
      </c>
      <c r="C95" s="1">
        <v>9481.83</v>
      </c>
      <c r="D95" s="1">
        <v>4</v>
      </c>
      <c r="E95" s="1">
        <v>7.8012499999999996</v>
      </c>
      <c r="F95" s="1">
        <v>15.602499999999999</v>
      </c>
    </row>
    <row r="96" spans="1:6">
      <c r="A96" s="1">
        <v>450</v>
      </c>
      <c r="B96" s="1">
        <v>2218.7800000000002</v>
      </c>
      <c r="C96" s="1">
        <v>10880.83</v>
      </c>
      <c r="D96" s="1">
        <v>4.5</v>
      </c>
      <c r="E96" s="1">
        <v>10.125</v>
      </c>
      <c r="F96" s="1">
        <v>20.25</v>
      </c>
    </row>
    <row r="97" spans="1:6">
      <c r="A97" s="1"/>
      <c r="B97" s="1"/>
      <c r="C97" s="1"/>
      <c r="D97" s="1"/>
      <c r="E97" s="1"/>
      <c r="F97" s="1"/>
    </row>
    <row r="98" spans="1:6">
      <c r="A98" s="2" t="s">
        <v>351</v>
      </c>
      <c r="B98">
        <v>0.8</v>
      </c>
    </row>
    <row r="99" spans="1:6">
      <c r="A99" s="2" t="s">
        <v>352</v>
      </c>
      <c r="B99">
        <v>1.5</v>
      </c>
    </row>
    <row r="101" spans="1:6">
      <c r="A101" s="77" t="s">
        <v>353</v>
      </c>
      <c r="B101" s="77" t="s">
        <v>354</v>
      </c>
    </row>
    <row r="102" spans="1:6">
      <c r="A102" s="5" t="s">
        <v>355</v>
      </c>
      <c r="B102" s="1">
        <v>2.66</v>
      </c>
    </row>
    <row r="103" spans="1:6">
      <c r="A103" s="5" t="s">
        <v>356</v>
      </c>
      <c r="B103" s="1">
        <v>8.43</v>
      </c>
    </row>
    <row r="104" spans="1:6">
      <c r="A104" s="5" t="s">
        <v>357</v>
      </c>
      <c r="B104" s="1">
        <v>1.8</v>
      </c>
    </row>
    <row r="105" spans="1:6">
      <c r="A105" s="5" t="s">
        <v>358</v>
      </c>
      <c r="B105" s="1">
        <v>7.86</v>
      </c>
    </row>
    <row r="106" spans="1:6">
      <c r="B106" s="1"/>
    </row>
    <row r="107" spans="1:6">
      <c r="A107" s="3" t="s">
        <v>359</v>
      </c>
      <c r="B107" s="77" t="s">
        <v>360</v>
      </c>
      <c r="C107" s="77" t="s">
        <v>361</v>
      </c>
      <c r="D107" s="77" t="s">
        <v>127</v>
      </c>
    </row>
    <row r="108" spans="1:6">
      <c r="A108" s="2" t="s">
        <v>362</v>
      </c>
      <c r="B108" s="1">
        <v>4</v>
      </c>
      <c r="C108" s="1">
        <v>0</v>
      </c>
      <c r="D108" s="1">
        <v>0</v>
      </c>
    </row>
    <row r="109" spans="1:6">
      <c r="A109" s="287" t="s">
        <v>975</v>
      </c>
      <c r="B109" s="288">
        <v>8.6621007290000005</v>
      </c>
      <c r="C109" s="288">
        <v>0</v>
      </c>
      <c r="D109" s="288">
        <v>0</v>
      </c>
      <c r="E109" t="s">
        <v>976</v>
      </c>
    </row>
    <row r="110" spans="1:6">
      <c r="A110" s="302" t="s">
        <v>363</v>
      </c>
      <c r="B110" s="303">
        <v>2.90909</v>
      </c>
      <c r="C110" s="303">
        <v>40</v>
      </c>
      <c r="D110" s="303">
        <v>1600</v>
      </c>
    </row>
    <row r="111" spans="1:6">
      <c r="A111" s="2" t="s">
        <v>364</v>
      </c>
      <c r="B111" s="1">
        <v>1.5</v>
      </c>
      <c r="C111" s="1">
        <v>60</v>
      </c>
      <c r="D111" s="1">
        <v>1800</v>
      </c>
    </row>
    <row r="112" spans="1:6">
      <c r="A112" s="2" t="s">
        <v>365</v>
      </c>
      <c r="B112" s="1">
        <v>1.389262</v>
      </c>
      <c r="C112" s="1">
        <v>40</v>
      </c>
      <c r="D112" s="1">
        <v>1035</v>
      </c>
    </row>
    <row r="113" spans="1:5">
      <c r="A113" s="2" t="s">
        <v>366</v>
      </c>
      <c r="B113" s="1">
        <v>1.607143</v>
      </c>
      <c r="C113" s="1">
        <v>40</v>
      </c>
      <c r="D113" s="1">
        <v>1800</v>
      </c>
    </row>
    <row r="114" spans="1:5">
      <c r="A114" s="2" t="s">
        <v>367</v>
      </c>
      <c r="B114" s="1">
        <v>1.9444440000000001</v>
      </c>
      <c r="C114" s="1">
        <v>33</v>
      </c>
      <c r="D114" s="1">
        <v>875</v>
      </c>
    </row>
    <row r="115" spans="1:5">
      <c r="A115" s="2" t="s">
        <v>368</v>
      </c>
      <c r="B115" s="1">
        <v>1.5963149999999999</v>
      </c>
      <c r="C115" s="1">
        <v>40</v>
      </c>
      <c r="D115" s="1">
        <v>953</v>
      </c>
    </row>
    <row r="116" spans="1:5">
      <c r="A116" s="2" t="s">
        <v>369</v>
      </c>
      <c r="B116" s="1">
        <v>2.6666669999999999</v>
      </c>
      <c r="C116" s="1">
        <v>20</v>
      </c>
      <c r="D116" s="1">
        <v>800</v>
      </c>
    </row>
    <row r="117" spans="1:5">
      <c r="A117" s="2" t="s">
        <v>370</v>
      </c>
      <c r="B117" s="1">
        <v>2.0422539999999998</v>
      </c>
      <c r="C117" s="1">
        <v>30</v>
      </c>
      <c r="D117" s="1">
        <v>1450</v>
      </c>
    </row>
    <row r="118" spans="1:5">
      <c r="A118" s="2" t="s">
        <v>371</v>
      </c>
      <c r="B118" s="1">
        <v>1.865672</v>
      </c>
      <c r="C118" s="1">
        <v>30</v>
      </c>
      <c r="D118" s="1">
        <v>1250</v>
      </c>
    </row>
    <row r="119" spans="1:5">
      <c r="A119" s="2" t="s">
        <v>372</v>
      </c>
      <c r="B119" s="1">
        <v>1.5625</v>
      </c>
      <c r="C119" s="1">
        <v>30</v>
      </c>
      <c r="D119" s="1">
        <v>1250</v>
      </c>
    </row>
    <row r="120" spans="1:5">
      <c r="A120" s="2" t="s">
        <v>373</v>
      </c>
      <c r="B120" s="1">
        <v>1.6875</v>
      </c>
      <c r="C120" s="1">
        <v>45</v>
      </c>
      <c r="D120" s="1">
        <v>1350</v>
      </c>
    </row>
    <row r="121" spans="1:5">
      <c r="A121" s="2" t="s">
        <v>374</v>
      </c>
      <c r="B121" s="1">
        <v>1.4762710000000001</v>
      </c>
      <c r="C121" s="1">
        <v>60</v>
      </c>
      <c r="D121" s="1">
        <v>2150</v>
      </c>
      <c r="E121" t="s">
        <v>375</v>
      </c>
    </row>
    <row r="122" spans="1:5">
      <c r="A122" s="2" t="s">
        <v>376</v>
      </c>
      <c r="B122" s="1">
        <v>2</v>
      </c>
      <c r="C122" s="1">
        <v>60</v>
      </c>
      <c r="D122" s="1">
        <v>2400</v>
      </c>
    </row>
    <row r="123" spans="1:5">
      <c r="A123" s="2" t="s">
        <v>377</v>
      </c>
      <c r="B123" s="1">
        <v>1.704545</v>
      </c>
      <c r="C123" s="1">
        <v>60</v>
      </c>
      <c r="D123" s="1">
        <v>2250</v>
      </c>
    </row>
    <row r="124" spans="1:5">
      <c r="A124" s="2" t="s">
        <v>378</v>
      </c>
      <c r="B124" s="1">
        <v>2.1455220000000002</v>
      </c>
      <c r="C124" s="1">
        <v>30</v>
      </c>
      <c r="D124" s="1">
        <v>1150</v>
      </c>
    </row>
    <row r="125" spans="1:5">
      <c r="A125" s="2" t="s">
        <v>379</v>
      </c>
      <c r="B125" s="1">
        <v>1.3149999999999999</v>
      </c>
      <c r="C125" s="1">
        <v>45</v>
      </c>
      <c r="D125" s="1">
        <v>1700</v>
      </c>
    </row>
    <row r="126" spans="1:5">
      <c r="A126" s="2" t="s">
        <v>380</v>
      </c>
      <c r="B126" s="1">
        <v>1.1052630000000001</v>
      </c>
      <c r="C126" s="1">
        <v>10</v>
      </c>
      <c r="D126" s="1">
        <v>210</v>
      </c>
    </row>
    <row r="127" spans="1:5">
      <c r="A127" s="2" t="s">
        <v>381</v>
      </c>
      <c r="B127" s="1">
        <v>1.6666669999999999</v>
      </c>
      <c r="C127" s="1">
        <v>60</v>
      </c>
      <c r="D127" s="1">
        <v>2300</v>
      </c>
    </row>
    <row r="128" spans="1:5">
      <c r="A128" s="2" t="s">
        <v>382</v>
      </c>
      <c r="B128" s="1">
        <v>2.84</v>
      </c>
      <c r="C128" s="1">
        <v>0</v>
      </c>
      <c r="D128" s="1">
        <v>0</v>
      </c>
    </row>
    <row r="129" spans="1:6">
      <c r="A129" s="2" t="s">
        <v>383</v>
      </c>
      <c r="B129" s="1">
        <v>2.136698</v>
      </c>
      <c r="C129" s="1">
        <v>0</v>
      </c>
      <c r="D129" s="1">
        <v>2390</v>
      </c>
    </row>
    <row r="130" spans="1:6">
      <c r="A130" s="2" t="s">
        <v>1023</v>
      </c>
      <c r="B130" s="1">
        <v>3</v>
      </c>
      <c r="C130" s="1">
        <v>0</v>
      </c>
      <c r="D130" s="1">
        <v>0</v>
      </c>
      <c r="E130" t="s">
        <v>1025</v>
      </c>
    </row>
    <row r="131" spans="1:6">
      <c r="A131" s="2" t="s">
        <v>384</v>
      </c>
      <c r="B131" s="1">
        <v>1.743331</v>
      </c>
      <c r="C131" s="1">
        <v>70</v>
      </c>
      <c r="D131" s="1">
        <v>1960</v>
      </c>
    </row>
    <row r="132" spans="1:6">
      <c r="B132" s="1"/>
      <c r="C132" s="1"/>
      <c r="D132" s="1"/>
    </row>
    <row r="133" spans="1:6">
      <c r="A133" s="3" t="s">
        <v>243</v>
      </c>
      <c r="B133" s="77" t="s">
        <v>354</v>
      </c>
      <c r="C133" s="77" t="s">
        <v>385</v>
      </c>
      <c r="D133" s="77" t="s">
        <v>386</v>
      </c>
      <c r="E133" s="77" t="s">
        <v>532</v>
      </c>
      <c r="F133" s="77" t="s">
        <v>1014</v>
      </c>
    </row>
    <row r="134" spans="1:6">
      <c r="A134" s="2" t="s">
        <v>1006</v>
      </c>
      <c r="B134" s="1">
        <v>3.42</v>
      </c>
      <c r="C134" s="1">
        <v>0.85</v>
      </c>
      <c r="D134" s="1">
        <v>1</v>
      </c>
      <c r="E134" s="1">
        <v>1</v>
      </c>
    </row>
    <row r="135" spans="1:6">
      <c r="A135" s="299" t="s">
        <v>1005</v>
      </c>
      <c r="B135" s="300">
        <v>3.6</v>
      </c>
      <c r="C135" s="300">
        <v>0.9</v>
      </c>
      <c r="D135" s="300">
        <v>1.5</v>
      </c>
      <c r="E135" s="300">
        <v>1</v>
      </c>
    </row>
    <row r="136" spans="1:6">
      <c r="A136" s="299" t="s">
        <v>1007</v>
      </c>
      <c r="B136" s="300">
        <v>3.65</v>
      </c>
      <c r="C136" s="300">
        <v>0.92</v>
      </c>
      <c r="D136" s="300">
        <v>1.4</v>
      </c>
      <c r="E136" s="300">
        <v>1</v>
      </c>
    </row>
    <row r="137" spans="1:6">
      <c r="A137" s="299" t="s">
        <v>1008</v>
      </c>
      <c r="B137" s="300">
        <v>3.8</v>
      </c>
      <c r="C137" s="300">
        <v>0.97</v>
      </c>
      <c r="D137" s="300">
        <v>1.5</v>
      </c>
      <c r="E137" s="300">
        <v>1</v>
      </c>
    </row>
    <row r="138" spans="1:6">
      <c r="A138" s="299" t="s">
        <v>387</v>
      </c>
      <c r="B138" s="300">
        <v>1.2999999999999999E-3</v>
      </c>
      <c r="C138" s="300">
        <v>0</v>
      </c>
      <c r="D138" s="300">
        <v>0.26</v>
      </c>
      <c r="E138" s="300">
        <v>1</v>
      </c>
      <c r="F138" t="s">
        <v>388</v>
      </c>
    </row>
    <row r="139" spans="1:6">
      <c r="A139" s="2" t="s">
        <v>1017</v>
      </c>
      <c r="B139" s="1">
        <v>2.786</v>
      </c>
      <c r="C139" s="1">
        <v>0.43</v>
      </c>
      <c r="D139" s="1">
        <v>0.7</v>
      </c>
      <c r="E139" s="1">
        <v>1</v>
      </c>
    </row>
    <row r="140" spans="1:6">
      <c r="A140" s="299" t="s">
        <v>960</v>
      </c>
      <c r="B140" s="300">
        <v>2.66</v>
      </c>
      <c r="C140" s="300">
        <v>0.33</v>
      </c>
      <c r="D140" s="300">
        <v>0.33</v>
      </c>
      <c r="E140" s="300">
        <v>1</v>
      </c>
      <c r="F140" t="s">
        <v>530</v>
      </c>
    </row>
    <row r="141" spans="1:6">
      <c r="A141" s="2" t="s">
        <v>961</v>
      </c>
      <c r="B141" s="1">
        <v>2.6977000000000002</v>
      </c>
      <c r="C141" s="1">
        <v>0.38500000000000001</v>
      </c>
      <c r="D141" s="288">
        <v>0.38500000000000001</v>
      </c>
      <c r="E141" s="1">
        <v>1</v>
      </c>
    </row>
    <row r="142" spans="1:6">
      <c r="A142" s="2" t="s">
        <v>962</v>
      </c>
      <c r="B142" s="1">
        <v>1.7459</v>
      </c>
      <c r="C142" s="1">
        <v>0.23100000000000001</v>
      </c>
      <c r="D142" s="288">
        <v>0.35</v>
      </c>
      <c r="E142" s="1">
        <v>1</v>
      </c>
    </row>
    <row r="143" spans="1:6">
      <c r="A143" s="2" t="s">
        <v>1019</v>
      </c>
      <c r="B143" s="1">
        <v>2.66</v>
      </c>
      <c r="C143" s="1">
        <v>0.42</v>
      </c>
      <c r="D143" s="1">
        <v>0.57999999999999996</v>
      </c>
      <c r="E143" s="1">
        <v>1</v>
      </c>
    </row>
    <row r="144" spans="1:6">
      <c r="A144" s="299" t="s">
        <v>389</v>
      </c>
      <c r="B144" s="300">
        <v>3.58</v>
      </c>
      <c r="C144" s="300">
        <v>0.9</v>
      </c>
      <c r="D144" s="300">
        <v>2</v>
      </c>
      <c r="E144" s="300">
        <v>1</v>
      </c>
    </row>
    <row r="145" spans="1:9">
      <c r="A145" s="2" t="s">
        <v>390</v>
      </c>
      <c r="B145" s="1">
        <v>2.2200000000000002</v>
      </c>
      <c r="C145" s="1">
        <v>0.71</v>
      </c>
      <c r="D145" s="1">
        <v>1.17</v>
      </c>
      <c r="E145" s="1">
        <v>1</v>
      </c>
    </row>
    <row r="146" spans="1:9">
      <c r="A146" s="2" t="s">
        <v>228</v>
      </c>
      <c r="B146" s="1">
        <v>18.600000000000001</v>
      </c>
      <c r="C146" s="1">
        <v>1.5</v>
      </c>
      <c r="D146" s="1">
        <v>1.5</v>
      </c>
      <c r="E146" s="1">
        <v>1</v>
      </c>
      <c r="F146" t="s">
        <v>1004</v>
      </c>
    </row>
    <row r="147" spans="1:9">
      <c r="A147" s="2" t="s">
        <v>227</v>
      </c>
      <c r="B147" s="1">
        <v>2.2029999999999998</v>
      </c>
      <c r="C147" s="1">
        <v>1</v>
      </c>
      <c r="D147" s="1">
        <v>1</v>
      </c>
      <c r="E147" s="1">
        <v>0</v>
      </c>
      <c r="F147" t="s">
        <v>391</v>
      </c>
      <c r="G147" t="s">
        <v>392</v>
      </c>
    </row>
    <row r="148" spans="1:9">
      <c r="A148" s="2" t="s">
        <v>393</v>
      </c>
      <c r="B148" s="1">
        <v>6.12</v>
      </c>
      <c r="C148" s="1">
        <v>4.29</v>
      </c>
      <c r="D148" s="1">
        <v>8.57</v>
      </c>
      <c r="E148" s="1">
        <v>1</v>
      </c>
      <c r="F148" t="s">
        <v>394</v>
      </c>
      <c r="G148" t="s">
        <v>395</v>
      </c>
      <c r="I148" t="s">
        <v>998</v>
      </c>
    </row>
    <row r="149" spans="1:9">
      <c r="A149" s="2" t="s">
        <v>1002</v>
      </c>
      <c r="B149" s="1">
        <v>11.34</v>
      </c>
      <c r="C149" s="1">
        <v>0.5</v>
      </c>
      <c r="D149" s="1">
        <v>1</v>
      </c>
      <c r="E149" s="1">
        <v>1</v>
      </c>
      <c r="F149" t="s">
        <v>1003</v>
      </c>
    </row>
    <row r="150" spans="1:9">
      <c r="A150" s="2" t="s">
        <v>396</v>
      </c>
      <c r="B150" s="1">
        <v>7.87</v>
      </c>
      <c r="C150" s="1">
        <v>0.8</v>
      </c>
      <c r="D150" s="1">
        <v>1</v>
      </c>
      <c r="E150" s="1">
        <v>1</v>
      </c>
      <c r="F150" t="s">
        <v>397</v>
      </c>
    </row>
    <row r="151" spans="1:9">
      <c r="A151" s="2" t="s">
        <v>398</v>
      </c>
      <c r="B151" s="1">
        <v>8.75</v>
      </c>
      <c r="C151" s="1">
        <v>0.44</v>
      </c>
      <c r="D151" s="1">
        <v>0.34</v>
      </c>
      <c r="E151" s="1">
        <v>1</v>
      </c>
      <c r="F151" t="s">
        <v>399</v>
      </c>
    </row>
    <row r="152" spans="1:9">
      <c r="A152" s="2" t="s">
        <v>229</v>
      </c>
      <c r="B152" s="1">
        <v>0</v>
      </c>
      <c r="C152" s="1">
        <v>0</v>
      </c>
      <c r="D152" s="1">
        <v>0</v>
      </c>
      <c r="E152" s="1">
        <v>1</v>
      </c>
    </row>
    <row r="153" spans="1:9">
      <c r="A153" s="299" t="s">
        <v>1001</v>
      </c>
      <c r="B153" s="300">
        <v>1.1200000000000001</v>
      </c>
      <c r="C153" s="300">
        <v>0.4</v>
      </c>
      <c r="D153" s="300">
        <v>0.7</v>
      </c>
      <c r="E153" s="300">
        <v>1</v>
      </c>
    </row>
    <row r="154" spans="1:9">
      <c r="A154" s="2" t="s">
        <v>226</v>
      </c>
      <c r="B154" s="1">
        <v>9.3870000000000005</v>
      </c>
      <c r="C154" s="1">
        <v>6</v>
      </c>
      <c r="D154" s="1">
        <v>12</v>
      </c>
      <c r="E154" s="1">
        <v>1</v>
      </c>
      <c r="F154" t="s">
        <v>400</v>
      </c>
      <c r="G154" t="s">
        <v>401</v>
      </c>
    </row>
    <row r="155" spans="1:9">
      <c r="A155" s="299" t="s">
        <v>993</v>
      </c>
      <c r="B155" s="300">
        <v>7.85</v>
      </c>
      <c r="C155" s="300">
        <v>1.1000000000000001</v>
      </c>
      <c r="D155" s="300">
        <v>1.1000000000000001</v>
      </c>
      <c r="E155" s="300">
        <v>1</v>
      </c>
    </row>
    <row r="156" spans="1:9">
      <c r="A156" s="299" t="s">
        <v>1021</v>
      </c>
      <c r="B156" s="300">
        <v>7.86</v>
      </c>
      <c r="C156" s="300">
        <v>0.91</v>
      </c>
      <c r="D156" s="300">
        <v>0.91</v>
      </c>
      <c r="E156" s="300">
        <v>1</v>
      </c>
    </row>
    <row r="157" spans="1:9">
      <c r="A157" s="2" t="s">
        <v>1000</v>
      </c>
      <c r="B157" s="1">
        <v>7.82</v>
      </c>
      <c r="C157" s="1">
        <v>1.32</v>
      </c>
      <c r="D157" s="1">
        <v>1.3</v>
      </c>
      <c r="E157" s="1">
        <v>1</v>
      </c>
      <c r="F157" t="s">
        <v>1013</v>
      </c>
    </row>
    <row r="158" spans="1:9">
      <c r="A158" s="2" t="s">
        <v>995</v>
      </c>
      <c r="B158" s="1">
        <v>7.86</v>
      </c>
      <c r="C158" s="1">
        <v>1.34</v>
      </c>
      <c r="D158" s="1">
        <v>1.3</v>
      </c>
      <c r="E158" s="1">
        <v>1</v>
      </c>
    </row>
    <row r="159" spans="1:9">
      <c r="A159" s="2" t="s">
        <v>994</v>
      </c>
      <c r="B159" s="1">
        <v>7.86</v>
      </c>
      <c r="C159" s="1">
        <v>1.05</v>
      </c>
      <c r="D159" s="1">
        <v>1</v>
      </c>
      <c r="E159" s="1">
        <v>1</v>
      </c>
    </row>
    <row r="160" spans="1:9">
      <c r="A160" s="299" t="s">
        <v>997</v>
      </c>
      <c r="B160" s="300">
        <v>7.82</v>
      </c>
      <c r="C160" s="300">
        <v>1.1225000000000001</v>
      </c>
      <c r="D160" s="300">
        <v>1.2</v>
      </c>
      <c r="E160" s="300">
        <v>1</v>
      </c>
      <c r="F160" t="s">
        <v>1015</v>
      </c>
    </row>
    <row r="161" spans="1:7">
      <c r="A161" s="299" t="s">
        <v>996</v>
      </c>
      <c r="B161" s="300">
        <v>7.86</v>
      </c>
      <c r="C161" s="300">
        <v>1.1499999999999999</v>
      </c>
      <c r="D161" s="300">
        <v>1.1000000000000001</v>
      </c>
      <c r="E161" s="300">
        <v>1</v>
      </c>
    </row>
    <row r="162" spans="1:7">
      <c r="A162" s="299" t="s">
        <v>999</v>
      </c>
      <c r="B162" s="300">
        <v>7.82</v>
      </c>
      <c r="C162" s="300">
        <v>1.8</v>
      </c>
      <c r="D162" s="300">
        <v>1.3</v>
      </c>
      <c r="E162" s="300">
        <v>1</v>
      </c>
      <c r="F162" t="s">
        <v>1016</v>
      </c>
    </row>
    <row r="163" spans="1:7">
      <c r="A163" s="2" t="s">
        <v>402</v>
      </c>
      <c r="B163" s="1">
        <v>5.0999999999999996</v>
      </c>
      <c r="C163" s="1">
        <v>0.7</v>
      </c>
      <c r="D163" s="1">
        <v>0.5</v>
      </c>
      <c r="E163" s="1">
        <v>1</v>
      </c>
    </row>
    <row r="164" spans="1:7">
      <c r="A164" s="299" t="s">
        <v>403</v>
      </c>
      <c r="B164" s="300">
        <v>7.85</v>
      </c>
      <c r="C164" s="300">
        <v>1</v>
      </c>
      <c r="D164" s="300">
        <v>1</v>
      </c>
      <c r="E164" s="300">
        <v>1</v>
      </c>
    </row>
    <row r="165" spans="1:7">
      <c r="A165" s="299" t="s">
        <v>1011</v>
      </c>
      <c r="B165" s="300">
        <v>2.2999999999999998</v>
      </c>
      <c r="C165" s="300">
        <v>0.1</v>
      </c>
      <c r="D165" s="300">
        <v>0.34</v>
      </c>
      <c r="E165" s="300">
        <v>1</v>
      </c>
      <c r="F165" t="s">
        <v>1012</v>
      </c>
    </row>
    <row r="166" spans="1:7">
      <c r="A166" s="299" t="s">
        <v>244</v>
      </c>
      <c r="B166" s="300">
        <v>1.76</v>
      </c>
      <c r="C166" s="300">
        <v>0.41</v>
      </c>
      <c r="D166" s="300">
        <v>0.7</v>
      </c>
      <c r="E166" s="300">
        <v>1</v>
      </c>
    </row>
    <row r="167" spans="1:7">
      <c r="A167" s="2" t="s">
        <v>1018</v>
      </c>
      <c r="B167" s="1"/>
      <c r="C167" s="1">
        <v>0.76</v>
      </c>
      <c r="D167" s="1"/>
      <c r="E167" s="1"/>
    </row>
    <row r="168" spans="1:7">
      <c r="A168" s="2" t="s">
        <v>963</v>
      </c>
      <c r="B168" s="1">
        <v>4.5</v>
      </c>
      <c r="C168" s="1">
        <v>0.85877899999999996</v>
      </c>
      <c r="D168" s="1">
        <v>0.60619699999999999</v>
      </c>
      <c r="E168" s="1">
        <v>1</v>
      </c>
    </row>
    <row r="169" spans="1:7">
      <c r="A169" s="299" t="s">
        <v>964</v>
      </c>
      <c r="B169" s="300">
        <v>2.92</v>
      </c>
      <c r="C169" s="300">
        <v>0.59609299999999998</v>
      </c>
      <c r="D169" s="300">
        <v>0.303983</v>
      </c>
      <c r="E169" s="300">
        <v>1</v>
      </c>
    </row>
    <row r="170" spans="1:7">
      <c r="A170" s="299" t="s">
        <v>405</v>
      </c>
      <c r="B170" s="300">
        <v>1</v>
      </c>
      <c r="C170" s="300">
        <v>0.15</v>
      </c>
      <c r="D170" s="300">
        <v>0.45</v>
      </c>
      <c r="E170" s="300">
        <v>1</v>
      </c>
    </row>
    <row r="171" spans="1:7">
      <c r="A171" s="299" t="s">
        <v>1010</v>
      </c>
      <c r="B171" s="300">
        <v>17.100000000000001</v>
      </c>
      <c r="C171" s="300">
        <v>1.44</v>
      </c>
      <c r="D171" s="300">
        <v>1.44</v>
      </c>
      <c r="E171" s="300">
        <v>1</v>
      </c>
    </row>
    <row r="172" spans="1:7">
      <c r="A172" s="2" t="s">
        <v>1009</v>
      </c>
      <c r="B172" s="1">
        <v>17</v>
      </c>
      <c r="C172" s="1">
        <v>1.44</v>
      </c>
      <c r="D172" s="1">
        <v>1.44</v>
      </c>
      <c r="E172" s="1">
        <v>1</v>
      </c>
      <c r="F172" s="301"/>
    </row>
    <row r="173" spans="1:7">
      <c r="B173" s="4"/>
      <c r="C173" s="4"/>
      <c r="D173" s="4"/>
    </row>
    <row r="174" spans="1:7">
      <c r="A174" s="3" t="s">
        <v>406</v>
      </c>
      <c r="B174" s="77" t="s">
        <v>407</v>
      </c>
      <c r="C174" s="77" t="s">
        <v>408</v>
      </c>
      <c r="D174" s="77" t="s">
        <v>409</v>
      </c>
      <c r="E174" s="77" t="s">
        <v>892</v>
      </c>
      <c r="F174" s="77" t="s">
        <v>893</v>
      </c>
    </row>
    <row r="175" spans="1:7">
      <c r="A175" s="2" t="s">
        <v>970</v>
      </c>
      <c r="B175" s="288">
        <v>1.1151732999999999</v>
      </c>
      <c r="C175" s="288">
        <v>462.88751739999998</v>
      </c>
      <c r="D175" s="288">
        <v>323.35308099999997</v>
      </c>
      <c r="E175" s="288">
        <v>12</v>
      </c>
      <c r="F175" s="288">
        <v>850</v>
      </c>
      <c r="G175" t="s">
        <v>971</v>
      </c>
    </row>
    <row r="176" spans="1:7">
      <c r="A176" s="2" t="s">
        <v>410</v>
      </c>
      <c r="B176" s="1">
        <v>0.93149999999999999</v>
      </c>
      <c r="C176" s="1">
        <v>1296.581197</v>
      </c>
      <c r="D176" s="1">
        <v>263.2</v>
      </c>
      <c r="E176" s="279">
        <v>1</v>
      </c>
      <c r="F176" s="279">
        <v>1500</v>
      </c>
    </row>
    <row r="177" spans="1:7">
      <c r="A177" s="2" t="s">
        <v>411</v>
      </c>
      <c r="B177" s="1">
        <v>1.0125</v>
      </c>
      <c r="C177" s="1">
        <v>859.7055871</v>
      </c>
      <c r="D177" s="1">
        <v>321.60000000000002</v>
      </c>
      <c r="E177" s="279">
        <v>1</v>
      </c>
      <c r="F177" s="279">
        <v>1500</v>
      </c>
    </row>
    <row r="178" spans="1:7">
      <c r="A178" s="287" t="s">
        <v>974</v>
      </c>
      <c r="B178" s="288">
        <v>1.7512291099999999</v>
      </c>
      <c r="C178" s="288">
        <v>411.45776569999998</v>
      </c>
      <c r="D178" s="288">
        <v>375.36375290000001</v>
      </c>
      <c r="E178" s="288">
        <v>12</v>
      </c>
      <c r="F178" s="288">
        <v>810</v>
      </c>
      <c r="G178" t="s">
        <v>971</v>
      </c>
    </row>
    <row r="179" spans="1:7">
      <c r="A179" s="294" t="s">
        <v>987</v>
      </c>
      <c r="B179" s="295">
        <v>2.6923686500000001</v>
      </c>
      <c r="C179" s="295">
        <v>55.186981578000001</v>
      </c>
      <c r="D179" s="295">
        <v>411.42700000000002</v>
      </c>
      <c r="E179" s="295">
        <v>7</v>
      </c>
      <c r="F179" s="295">
        <v>250</v>
      </c>
      <c r="G179" t="s">
        <v>988</v>
      </c>
    </row>
    <row r="180" spans="1:7">
      <c r="A180" s="287" t="s">
        <v>968</v>
      </c>
      <c r="B180" s="288">
        <v>1.36</v>
      </c>
      <c r="C180" s="288">
        <v>295.50827420000002</v>
      </c>
      <c r="D180" s="288">
        <v>300</v>
      </c>
      <c r="E180" s="288">
        <v>12</v>
      </c>
      <c r="F180" s="288">
        <v>850</v>
      </c>
      <c r="G180" t="s">
        <v>991</v>
      </c>
    </row>
    <row r="181" spans="1:7">
      <c r="A181" s="287" t="s">
        <v>972</v>
      </c>
      <c r="B181" s="288">
        <v>2.0213730540000001</v>
      </c>
      <c r="C181" s="288">
        <v>261.96010289999998</v>
      </c>
      <c r="D181" s="288">
        <v>230.40278939999999</v>
      </c>
      <c r="E181" s="288">
        <v>12</v>
      </c>
      <c r="F181" s="288">
        <v>770</v>
      </c>
    </row>
    <row r="182" spans="1:7">
      <c r="A182" s="2" t="s">
        <v>412</v>
      </c>
      <c r="B182" s="1">
        <v>1.07</v>
      </c>
      <c r="C182" s="1">
        <v>298.60000000000002</v>
      </c>
      <c r="D182" s="1">
        <v>220</v>
      </c>
      <c r="E182" s="279">
        <v>12</v>
      </c>
      <c r="F182" s="279">
        <v>1500</v>
      </c>
    </row>
    <row r="183" spans="1:7">
      <c r="A183" s="2" t="s">
        <v>413</v>
      </c>
      <c r="B183" s="1">
        <v>1.5</v>
      </c>
      <c r="C183" s="1">
        <v>1050</v>
      </c>
      <c r="D183" s="1">
        <v>220</v>
      </c>
      <c r="E183" s="279">
        <v>12</v>
      </c>
      <c r="F183" s="279">
        <v>1500</v>
      </c>
    </row>
    <row r="184" spans="1:7">
      <c r="A184" s="2" t="s">
        <v>414</v>
      </c>
      <c r="B184" s="1">
        <v>0.81</v>
      </c>
      <c r="C184" s="1">
        <v>1360</v>
      </c>
      <c r="D184" s="1">
        <v>220</v>
      </c>
      <c r="E184" s="279">
        <v>12</v>
      </c>
      <c r="F184" s="279">
        <v>1500</v>
      </c>
    </row>
    <row r="185" spans="1:7">
      <c r="A185" s="2" t="s">
        <v>415</v>
      </c>
      <c r="B185" s="1">
        <v>0.876190476</v>
      </c>
      <c r="C185" s="1">
        <v>665.51300279999998</v>
      </c>
      <c r="D185" s="1">
        <v>225</v>
      </c>
      <c r="E185" s="279">
        <v>1</v>
      </c>
      <c r="F185" s="279">
        <v>1000</v>
      </c>
    </row>
    <row r="186" spans="1:7">
      <c r="A186" s="2" t="s">
        <v>416</v>
      </c>
      <c r="B186" s="1">
        <v>9.69</v>
      </c>
      <c r="C186" s="1">
        <v>82.67</v>
      </c>
      <c r="D186" s="1">
        <v>191.33</v>
      </c>
      <c r="E186" s="279">
        <v>0</v>
      </c>
      <c r="F186" s="279">
        <v>0</v>
      </c>
    </row>
    <row r="187" spans="1:7">
      <c r="A187" s="2" t="s">
        <v>417</v>
      </c>
      <c r="B187" s="1">
        <v>48.44</v>
      </c>
      <c r="C187" s="1">
        <v>16.53</v>
      </c>
      <c r="D187" s="1">
        <v>286.99</v>
      </c>
      <c r="E187" s="279">
        <v>1</v>
      </c>
      <c r="F187" s="279">
        <v>0</v>
      </c>
    </row>
    <row r="188" spans="1:7">
      <c r="A188" s="2" t="s">
        <v>418</v>
      </c>
      <c r="B188" s="1">
        <v>36.33</v>
      </c>
      <c r="C188" s="1">
        <v>22.04</v>
      </c>
      <c r="D188" s="1">
        <v>255.1</v>
      </c>
      <c r="E188" s="279">
        <v>1</v>
      </c>
      <c r="F188" s="279">
        <v>0</v>
      </c>
    </row>
    <row r="189" spans="1:7">
      <c r="A189" s="2" t="s">
        <v>419</v>
      </c>
      <c r="B189" s="1">
        <v>24.22</v>
      </c>
      <c r="C189" s="1">
        <v>33.07</v>
      </c>
      <c r="D189" s="1">
        <v>223.21</v>
      </c>
      <c r="E189" s="279">
        <v>1</v>
      </c>
      <c r="F189" s="279">
        <v>0</v>
      </c>
    </row>
    <row r="190" spans="1:7">
      <c r="A190" s="2" t="s">
        <v>420</v>
      </c>
      <c r="B190" s="1">
        <v>5.62</v>
      </c>
      <c r="C190" s="1">
        <v>142.4</v>
      </c>
      <c r="D190" s="1">
        <v>127.55</v>
      </c>
      <c r="E190" s="279">
        <v>0</v>
      </c>
      <c r="F190" s="279">
        <v>0</v>
      </c>
    </row>
    <row r="191" spans="1:7">
      <c r="A191" s="2" t="s">
        <v>421</v>
      </c>
      <c r="B191" s="1">
        <v>2.86</v>
      </c>
      <c r="C191" s="1">
        <v>280.27999999999997</v>
      </c>
      <c r="D191" s="1">
        <v>159.44</v>
      </c>
      <c r="E191" s="279">
        <v>0</v>
      </c>
      <c r="F191" s="279">
        <v>0</v>
      </c>
    </row>
    <row r="192" spans="1:7">
      <c r="A192" s="2" t="s">
        <v>422</v>
      </c>
      <c r="B192" s="1">
        <v>14.42</v>
      </c>
      <c r="C192" s="1">
        <v>55.53</v>
      </c>
      <c r="D192" s="1">
        <v>190.50879499999999</v>
      </c>
      <c r="E192" s="279">
        <v>1</v>
      </c>
      <c r="F192" s="279">
        <v>0</v>
      </c>
    </row>
    <row r="193" spans="1:7">
      <c r="A193" s="2" t="s">
        <v>423</v>
      </c>
      <c r="B193" s="1">
        <v>126.97</v>
      </c>
      <c r="C193" s="1">
        <v>6.31</v>
      </c>
      <c r="D193" s="1">
        <v>0</v>
      </c>
      <c r="E193" s="279">
        <v>1</v>
      </c>
      <c r="F193" s="279">
        <v>0</v>
      </c>
    </row>
    <row r="194" spans="1:7">
      <c r="A194" s="2" t="s">
        <v>424</v>
      </c>
      <c r="B194" s="1">
        <v>11.54</v>
      </c>
      <c r="C194" s="1">
        <v>69.41</v>
      </c>
      <c r="D194" s="1">
        <v>159.44</v>
      </c>
      <c r="E194" s="279">
        <v>1</v>
      </c>
      <c r="F194" s="279">
        <v>0</v>
      </c>
    </row>
    <row r="195" spans="1:7">
      <c r="A195" s="2" t="s">
        <v>425</v>
      </c>
      <c r="B195" s="1">
        <v>91.17</v>
      </c>
      <c r="C195" s="1">
        <v>8.7799999999999994</v>
      </c>
      <c r="D195" s="1">
        <v>0</v>
      </c>
      <c r="E195" s="279">
        <v>1</v>
      </c>
      <c r="F195" s="279">
        <v>0</v>
      </c>
    </row>
    <row r="196" spans="1:7">
      <c r="A196" s="2" t="s">
        <v>426</v>
      </c>
      <c r="B196" s="1">
        <v>18.190000000000001</v>
      </c>
      <c r="C196" s="1">
        <v>44.03</v>
      </c>
      <c r="D196" s="1">
        <v>0</v>
      </c>
      <c r="E196" s="279">
        <v>1</v>
      </c>
      <c r="F196" s="279">
        <v>0</v>
      </c>
    </row>
    <row r="197" spans="1:7">
      <c r="A197" s="287" t="s">
        <v>967</v>
      </c>
      <c r="B197" s="288">
        <v>2.330097087</v>
      </c>
      <c r="C197" s="288">
        <v>282.89178270000002</v>
      </c>
      <c r="D197" s="288">
        <v>360.95838359999999</v>
      </c>
      <c r="E197" s="288">
        <v>12</v>
      </c>
      <c r="F197" s="288">
        <v>690</v>
      </c>
    </row>
    <row r="198" spans="1:7">
      <c r="A198" s="2" t="s">
        <v>427</v>
      </c>
      <c r="B198" s="1">
        <v>185</v>
      </c>
      <c r="C198" s="1">
        <v>19.940000000000001</v>
      </c>
      <c r="D198" s="1">
        <v>0</v>
      </c>
      <c r="E198" s="279">
        <v>1</v>
      </c>
      <c r="F198" s="279">
        <v>0</v>
      </c>
    </row>
    <row r="199" spans="1:7">
      <c r="A199" s="2" t="s">
        <v>428</v>
      </c>
      <c r="B199" s="1">
        <v>41.94</v>
      </c>
      <c r="C199" s="1">
        <v>3.73</v>
      </c>
      <c r="D199" s="1">
        <v>0</v>
      </c>
      <c r="E199" s="279">
        <v>1</v>
      </c>
      <c r="F199" s="279">
        <v>0</v>
      </c>
    </row>
    <row r="200" spans="1:7">
      <c r="A200" s="2" t="s">
        <v>429</v>
      </c>
      <c r="B200" s="1">
        <v>151</v>
      </c>
      <c r="C200" s="1">
        <v>3.73</v>
      </c>
      <c r="D200" s="1">
        <v>0</v>
      </c>
      <c r="E200" s="279">
        <v>0</v>
      </c>
      <c r="F200" s="279">
        <v>0</v>
      </c>
    </row>
    <row r="201" spans="1:7">
      <c r="A201" s="287" t="s">
        <v>430</v>
      </c>
      <c r="B201" s="288">
        <v>2.81</v>
      </c>
      <c r="C201" s="288">
        <v>212.77</v>
      </c>
      <c r="D201" s="288">
        <v>200</v>
      </c>
      <c r="E201" s="288">
        <v>1</v>
      </c>
      <c r="F201" s="288">
        <v>0</v>
      </c>
    </row>
    <row r="202" spans="1:7">
      <c r="A202" s="2" t="s">
        <v>973</v>
      </c>
      <c r="B202" s="1">
        <v>3.9701445130000002</v>
      </c>
      <c r="C202" s="1">
        <v>310.53698630000002</v>
      </c>
      <c r="D202" s="1">
        <v>300</v>
      </c>
      <c r="E202" s="279">
        <v>16</v>
      </c>
      <c r="F202" s="279">
        <v>760</v>
      </c>
      <c r="G202" t="s">
        <v>969</v>
      </c>
    </row>
    <row r="203" spans="1:7">
      <c r="A203" s="296" t="s">
        <v>989</v>
      </c>
      <c r="B203" s="297">
        <v>0.71942446000000004</v>
      </c>
      <c r="C203" s="297">
        <v>296.84187600000001</v>
      </c>
      <c r="D203" s="297">
        <v>362</v>
      </c>
      <c r="E203" s="297">
        <v>9</v>
      </c>
      <c r="F203" s="297">
        <v>1000</v>
      </c>
      <c r="G203" t="s">
        <v>990</v>
      </c>
    </row>
    <row r="204" spans="1:7">
      <c r="A204" s="2" t="s">
        <v>992</v>
      </c>
      <c r="B204" s="298">
        <v>1.3839616613418499</v>
      </c>
      <c r="C204" s="298">
        <v>233.15462264000001</v>
      </c>
      <c r="D204" s="298">
        <v>522.46088309724996</v>
      </c>
      <c r="E204" s="298">
        <v>9</v>
      </c>
      <c r="F204" s="298">
        <v>420</v>
      </c>
      <c r="G204" t="s">
        <v>988</v>
      </c>
    </row>
    <row r="205" spans="1:7">
      <c r="B205" s="1"/>
      <c r="C205" s="1"/>
      <c r="D205" s="1"/>
    </row>
    <row r="206" spans="1:7">
      <c r="A206" s="3" t="s">
        <v>431</v>
      </c>
      <c r="B206" s="77" t="s">
        <v>432</v>
      </c>
      <c r="C206" s="77" t="s">
        <v>433</v>
      </c>
    </row>
    <row r="207" spans="1:7">
      <c r="A207" s="2" t="s">
        <v>434</v>
      </c>
      <c r="B207" s="1">
        <v>408.23</v>
      </c>
      <c r="C207" s="1">
        <v>0.51</v>
      </c>
    </row>
    <row r="208" spans="1:7">
      <c r="A208" s="2" t="s">
        <v>435</v>
      </c>
      <c r="B208" s="1">
        <v>48.99</v>
      </c>
      <c r="C208" s="1">
        <v>1.4999999999999999E-2</v>
      </c>
    </row>
    <row r="209" spans="1:4">
      <c r="A209" s="2" t="s">
        <v>436</v>
      </c>
      <c r="B209" s="1">
        <v>1306.3499999999999</v>
      </c>
      <c r="C209" s="1">
        <v>1.631</v>
      </c>
    </row>
    <row r="210" spans="1:4">
      <c r="A210" s="2" t="s">
        <v>437</v>
      </c>
      <c r="B210" s="1">
        <v>40.82</v>
      </c>
      <c r="C210" s="1">
        <v>1.2999999999999999E-2</v>
      </c>
    </row>
    <row r="211" spans="1:4">
      <c r="A211" s="2" t="s">
        <v>438</v>
      </c>
      <c r="B211" s="1">
        <v>8.16</v>
      </c>
      <c r="C211" s="1">
        <v>5.0000000000000001E-3</v>
      </c>
    </row>
    <row r="212" spans="1:4">
      <c r="A212" s="2" t="s">
        <v>439</v>
      </c>
      <c r="B212" s="1">
        <v>16.329999999999998</v>
      </c>
      <c r="C212" s="1">
        <v>0.02</v>
      </c>
    </row>
    <row r="213" spans="1:4">
      <c r="A213" s="2" t="s">
        <v>440</v>
      </c>
      <c r="B213" s="1">
        <v>32.659999999999997</v>
      </c>
      <c r="C213" s="1">
        <v>0.01</v>
      </c>
    </row>
    <row r="214" spans="1:4">
      <c r="B214" s="1"/>
      <c r="C214" s="1"/>
    </row>
    <row r="215" spans="1:4">
      <c r="A215" s="3" t="s">
        <v>441</v>
      </c>
      <c r="B215" s="78" t="s">
        <v>442</v>
      </c>
      <c r="C215" s="78" t="s">
        <v>443</v>
      </c>
    </row>
    <row r="216" spans="1:4">
      <c r="A216" s="285" t="s">
        <v>229</v>
      </c>
      <c r="B216" s="286">
        <v>0</v>
      </c>
      <c r="C216" s="286">
        <v>0</v>
      </c>
    </row>
    <row r="217" spans="1:4">
      <c r="A217" s="2" t="s">
        <v>444</v>
      </c>
      <c r="B217" s="1">
        <v>885</v>
      </c>
      <c r="C217" s="1">
        <v>3.1887543599999999</v>
      </c>
    </row>
    <row r="218" spans="1:4">
      <c r="A218" s="285" t="s">
        <v>952</v>
      </c>
      <c r="B218" s="286">
        <v>791.5</v>
      </c>
      <c r="C218" s="286">
        <v>2.9809999999999999</v>
      </c>
    </row>
    <row r="219" spans="1:4">
      <c r="A219" s="2" t="s">
        <v>445</v>
      </c>
      <c r="B219" s="1">
        <v>737.22</v>
      </c>
      <c r="C219" s="1">
        <v>2.84402416</v>
      </c>
    </row>
    <row r="220" spans="1:4">
      <c r="A220" s="285" t="s">
        <v>949</v>
      </c>
      <c r="B220" s="286">
        <v>263.3</v>
      </c>
      <c r="C220" s="286">
        <v>0.2328472</v>
      </c>
    </row>
    <row r="221" spans="1:4">
      <c r="A221" s="285" t="s">
        <v>446</v>
      </c>
      <c r="B221" s="286">
        <v>817.5</v>
      </c>
      <c r="C221" s="286">
        <v>3.0617485000000002</v>
      </c>
    </row>
    <row r="222" spans="1:4">
      <c r="A222" s="285" t="s">
        <v>950</v>
      </c>
      <c r="B222" s="286">
        <v>553</v>
      </c>
      <c r="C222" s="286">
        <v>1.85</v>
      </c>
    </row>
    <row r="223" spans="1:4">
      <c r="A223" s="2" t="s">
        <v>951</v>
      </c>
      <c r="B223" s="1">
        <v>2.1549999999999998</v>
      </c>
      <c r="C223" s="1">
        <v>0.134742</v>
      </c>
    </row>
    <row r="224" spans="1:4">
      <c r="A224" s="2" t="s">
        <v>953</v>
      </c>
      <c r="B224" s="1">
        <v>784.4</v>
      </c>
      <c r="C224" s="1">
        <v>4.2864478999999998</v>
      </c>
      <c r="D224" t="s">
        <v>954</v>
      </c>
    </row>
    <row r="225" spans="1:6">
      <c r="B225" s="1"/>
      <c r="C225" s="1"/>
    </row>
    <row r="226" spans="1:6">
      <c r="A226" s="3" t="s">
        <v>447</v>
      </c>
      <c r="B226" s="77" t="s">
        <v>448</v>
      </c>
      <c r="C226" s="77" t="s">
        <v>449</v>
      </c>
      <c r="D226" s="77" t="s">
        <v>450</v>
      </c>
      <c r="E226" s="77" t="s">
        <v>451</v>
      </c>
      <c r="F226" s="77" t="s">
        <v>452</v>
      </c>
    </row>
    <row r="227" spans="1:6">
      <c r="A227" s="2" t="s">
        <v>453</v>
      </c>
      <c r="B227" s="1">
        <v>2</v>
      </c>
      <c r="C227" s="1">
        <v>10</v>
      </c>
      <c r="D227" s="1">
        <v>2500</v>
      </c>
      <c r="E227" s="1">
        <v>1191.3599999999999</v>
      </c>
      <c r="F227" s="1">
        <v>1952.63904</v>
      </c>
    </row>
    <row r="228" spans="1:6">
      <c r="A228" s="2" t="s">
        <v>454</v>
      </c>
      <c r="B228" s="1">
        <v>3</v>
      </c>
      <c r="C228" s="1">
        <v>20</v>
      </c>
      <c r="D228" s="1">
        <v>1700</v>
      </c>
      <c r="E228" s="1">
        <v>1229.6300000000001</v>
      </c>
      <c r="F228" s="1">
        <v>618.36</v>
      </c>
    </row>
    <row r="229" spans="1:6">
      <c r="A229" s="2" t="s">
        <v>455</v>
      </c>
      <c r="B229" s="1">
        <v>2</v>
      </c>
      <c r="C229" s="1">
        <v>10</v>
      </c>
      <c r="D229" s="1">
        <v>2500</v>
      </c>
      <c r="E229" s="1">
        <v>1439</v>
      </c>
      <c r="F229" s="1">
        <v>800</v>
      </c>
    </row>
    <row r="230" spans="1:6">
      <c r="A230" s="2" t="s">
        <v>456</v>
      </c>
      <c r="B230" s="1">
        <v>4</v>
      </c>
      <c r="C230" s="1">
        <v>20</v>
      </c>
      <c r="D230" s="1">
        <v>2500</v>
      </c>
      <c r="E230" s="1">
        <v>1276.17</v>
      </c>
      <c r="F230" s="1">
        <v>2128.0134750000002</v>
      </c>
    </row>
    <row r="231" spans="1:6">
      <c r="A231" s="2" t="s">
        <v>457</v>
      </c>
      <c r="B231" s="1">
        <v>2.7</v>
      </c>
      <c r="C231" s="1">
        <v>15</v>
      </c>
      <c r="D231" s="1">
        <v>1900</v>
      </c>
      <c r="E231" s="1">
        <v>1598.519</v>
      </c>
      <c r="F231" s="1">
        <v>803.86800000000005</v>
      </c>
    </row>
    <row r="232" spans="1:6">
      <c r="A232" s="2" t="s">
        <v>458</v>
      </c>
      <c r="B232" s="1">
        <v>2</v>
      </c>
      <c r="C232" s="1">
        <v>10</v>
      </c>
      <c r="D232" s="1">
        <v>2500</v>
      </c>
      <c r="E232" s="1">
        <v>1275</v>
      </c>
      <c r="F232" s="1">
        <v>2550</v>
      </c>
    </row>
    <row r="233" spans="1:6">
      <c r="A233" s="2" t="s">
        <v>459</v>
      </c>
      <c r="B233" s="1">
        <v>2</v>
      </c>
      <c r="C233" s="1">
        <v>10</v>
      </c>
      <c r="D233" s="1">
        <v>2500</v>
      </c>
      <c r="E233" s="1">
        <v>1291</v>
      </c>
      <c r="F233" s="1">
        <v>2582</v>
      </c>
    </row>
    <row r="234" spans="1:6">
      <c r="A234" s="2" t="s">
        <v>460</v>
      </c>
      <c r="B234" s="1">
        <v>1.25</v>
      </c>
      <c r="C234" s="1">
        <v>5</v>
      </c>
      <c r="D234" s="1">
        <v>2500</v>
      </c>
      <c r="E234" s="1">
        <v>0</v>
      </c>
      <c r="F234" s="1">
        <v>0</v>
      </c>
    </row>
    <row r="235" spans="1:6">
      <c r="A235" s="2" t="s">
        <v>461</v>
      </c>
      <c r="B235" s="1">
        <v>2</v>
      </c>
      <c r="C235" s="1">
        <v>10</v>
      </c>
      <c r="D235" s="1">
        <v>2500</v>
      </c>
      <c r="E235" s="1">
        <v>1496.6369999999999</v>
      </c>
      <c r="F235" s="1">
        <v>2993.2745500000001</v>
      </c>
    </row>
    <row r="236" spans="1:6">
      <c r="A236" s="2" t="s">
        <v>462</v>
      </c>
      <c r="B236" s="1">
        <v>2</v>
      </c>
      <c r="C236" s="1">
        <v>10</v>
      </c>
      <c r="D236" s="1">
        <v>2500</v>
      </c>
      <c r="E236" s="1">
        <v>1496.6369999999999</v>
      </c>
      <c r="F236" s="1">
        <v>4190.5843699999996</v>
      </c>
    </row>
    <row r="237" spans="1:6">
      <c r="A237" s="2" t="s">
        <v>463</v>
      </c>
      <c r="B237" s="1">
        <v>2</v>
      </c>
      <c r="C237" s="1">
        <v>10</v>
      </c>
      <c r="D237" s="1">
        <v>2500</v>
      </c>
      <c r="E237" s="1">
        <v>1350</v>
      </c>
      <c r="F237" s="1">
        <v>1932</v>
      </c>
    </row>
    <row r="238" spans="1:6">
      <c r="A238" s="2" t="s">
        <v>464</v>
      </c>
      <c r="B238" s="1">
        <v>2</v>
      </c>
      <c r="C238" s="1">
        <v>10</v>
      </c>
      <c r="D238" s="1">
        <v>2500</v>
      </c>
      <c r="E238" s="1">
        <v>1320</v>
      </c>
      <c r="F238" s="1">
        <v>2692.8</v>
      </c>
    </row>
    <row r="239" spans="1:6">
      <c r="A239" s="2" t="s">
        <v>465</v>
      </c>
      <c r="B239" s="1">
        <v>2</v>
      </c>
      <c r="C239" s="1">
        <v>10</v>
      </c>
      <c r="D239" s="1">
        <v>2500</v>
      </c>
      <c r="E239" s="1">
        <v>1320</v>
      </c>
      <c r="F239" s="1">
        <v>3769.92</v>
      </c>
    </row>
    <row r="240" spans="1:6">
      <c r="B240" s="1"/>
      <c r="C240" s="1"/>
      <c r="D240" s="1"/>
      <c r="E240" s="1"/>
      <c r="F240" s="1"/>
    </row>
    <row r="241" spans="1:4">
      <c r="A241" s="3" t="s">
        <v>466</v>
      </c>
      <c r="B241" s="78" t="s">
        <v>467</v>
      </c>
      <c r="C241" s="78" t="s">
        <v>468</v>
      </c>
      <c r="D241" s="78" t="s">
        <v>469</v>
      </c>
    </row>
    <row r="242" spans="1:4">
      <c r="A242" s="2" t="s">
        <v>470</v>
      </c>
      <c r="B242" s="1">
        <v>1</v>
      </c>
      <c r="C242" s="1">
        <v>68</v>
      </c>
      <c r="D242" s="79">
        <v>3743</v>
      </c>
    </row>
    <row r="243" spans="1:4">
      <c r="A243" s="2" t="s">
        <v>471</v>
      </c>
      <c r="B243" s="1">
        <v>1</v>
      </c>
      <c r="C243" s="1">
        <v>56</v>
      </c>
      <c r="D243" s="79">
        <v>25078</v>
      </c>
    </row>
    <row r="244" spans="1:4">
      <c r="A244" s="2" t="s">
        <v>472</v>
      </c>
      <c r="B244" s="1">
        <v>1</v>
      </c>
      <c r="C244" s="1">
        <v>68</v>
      </c>
      <c r="D244" s="79">
        <v>2319</v>
      </c>
    </row>
    <row r="245" spans="1:4">
      <c r="A245" s="2" t="s">
        <v>473</v>
      </c>
      <c r="B245" s="1">
        <v>1</v>
      </c>
      <c r="C245" s="1">
        <v>83</v>
      </c>
      <c r="D245" s="79">
        <v>15539</v>
      </c>
    </row>
    <row r="246" spans="1:4">
      <c r="A246" s="2" t="s">
        <v>474</v>
      </c>
      <c r="B246" s="1">
        <v>3</v>
      </c>
      <c r="C246" s="1">
        <v>80</v>
      </c>
      <c r="D246" s="79">
        <v>1742</v>
      </c>
    </row>
    <row r="247" spans="1:4">
      <c r="A247" s="2" t="s">
        <v>475</v>
      </c>
      <c r="B247" s="1">
        <v>5.4545454549999999</v>
      </c>
      <c r="C247" s="1">
        <v>65</v>
      </c>
      <c r="D247" s="79">
        <v>11693</v>
      </c>
    </row>
    <row r="248" spans="1:4">
      <c r="B248" s="1"/>
      <c r="C248" s="1"/>
      <c r="D248" s="1"/>
    </row>
    <row r="249" spans="1:4">
      <c r="A249" s="3" t="s">
        <v>476</v>
      </c>
      <c r="B249" s="78" t="s">
        <v>467</v>
      </c>
      <c r="C249" s="78" t="s">
        <v>477</v>
      </c>
    </row>
    <row r="250" spans="1:4">
      <c r="A250" s="2" t="s">
        <v>478</v>
      </c>
      <c r="B250" s="1">
        <v>0.8</v>
      </c>
      <c r="C250" s="1">
        <v>3.6</v>
      </c>
    </row>
    <row r="251" spans="1:4">
      <c r="A251" s="2" t="s">
        <v>479</v>
      </c>
      <c r="B251" s="1">
        <v>1</v>
      </c>
      <c r="C251" s="1">
        <v>3.6</v>
      </c>
    </row>
    <row r="252" spans="1:4">
      <c r="A252" s="2" t="s">
        <v>480</v>
      </c>
      <c r="B252" s="1">
        <v>1</v>
      </c>
      <c r="C252" s="1">
        <v>3.6</v>
      </c>
    </row>
    <row r="253" spans="1:4">
      <c r="B253" s="1"/>
      <c r="C253" s="1"/>
    </row>
    <row r="254" spans="1:4">
      <c r="A254" s="3" t="s">
        <v>481</v>
      </c>
      <c r="B254" s="77" t="s">
        <v>482</v>
      </c>
      <c r="C254" s="77" t="s">
        <v>231</v>
      </c>
    </row>
    <row r="255" spans="1:4">
      <c r="A255" s="2" t="s">
        <v>483</v>
      </c>
      <c r="B255" s="1">
        <v>22.22</v>
      </c>
      <c r="C255" s="1">
        <v>0.13</v>
      </c>
    </row>
    <row r="256" spans="1:4">
      <c r="A256" s="2" t="s">
        <v>484</v>
      </c>
      <c r="B256" s="1">
        <v>65</v>
      </c>
      <c r="C256" s="1">
        <v>0.31</v>
      </c>
    </row>
    <row r="257" spans="1:4">
      <c r="A257" s="2" t="s">
        <v>485</v>
      </c>
      <c r="B257" s="1">
        <v>17.776</v>
      </c>
      <c r="C257" s="1">
        <v>0.13</v>
      </c>
    </row>
    <row r="258" spans="1:4">
      <c r="A258" s="2" t="s">
        <v>486</v>
      </c>
      <c r="B258" s="1">
        <v>42.39</v>
      </c>
      <c r="C258" s="1">
        <v>0.19</v>
      </c>
    </row>
    <row r="259" spans="1:4">
      <c r="A259" s="2" t="s">
        <v>487</v>
      </c>
      <c r="B259" s="1">
        <v>124</v>
      </c>
      <c r="C259" s="1">
        <v>0.45</v>
      </c>
    </row>
    <row r="260" spans="1:4">
      <c r="A260" s="2" t="s">
        <v>488</v>
      </c>
      <c r="B260" s="1">
        <v>126</v>
      </c>
      <c r="C260" s="1">
        <v>0.64</v>
      </c>
    </row>
    <row r="261" spans="1:4">
      <c r="A261" s="2" t="s">
        <v>489</v>
      </c>
      <c r="B261" s="1">
        <v>61.53</v>
      </c>
      <c r="C261" s="1">
        <v>0.27</v>
      </c>
    </row>
    <row r="262" spans="1:4">
      <c r="A262" s="2" t="s">
        <v>490</v>
      </c>
      <c r="B262" s="1">
        <v>180</v>
      </c>
      <c r="C262" s="1">
        <v>0.64</v>
      </c>
    </row>
    <row r="263" spans="1:4">
      <c r="A263" s="2" t="s">
        <v>491</v>
      </c>
      <c r="B263" s="1">
        <v>182.7</v>
      </c>
      <c r="C263" s="1">
        <v>0.91</v>
      </c>
    </row>
    <row r="264" spans="1:4">
      <c r="A264" s="2" t="s">
        <v>492</v>
      </c>
      <c r="B264" s="1">
        <v>89.31</v>
      </c>
      <c r="C264" s="1">
        <v>0.39</v>
      </c>
    </row>
    <row r="265" spans="1:4">
      <c r="A265" s="2" t="s">
        <v>493</v>
      </c>
      <c r="B265" s="1">
        <v>261</v>
      </c>
      <c r="C265" s="1">
        <v>0.91</v>
      </c>
    </row>
    <row r="266" spans="1:4">
      <c r="B266" s="1"/>
      <c r="C266" s="1"/>
    </row>
    <row r="267" spans="1:4">
      <c r="A267" s="3" t="s">
        <v>494</v>
      </c>
      <c r="B267" s="77" t="s">
        <v>495</v>
      </c>
      <c r="C267" s="77" t="s">
        <v>496</v>
      </c>
    </row>
    <row r="268" spans="1:4">
      <c r="A268" s="2" t="s">
        <v>497</v>
      </c>
      <c r="B268" s="1">
        <v>17.518245</v>
      </c>
      <c r="C268" s="1">
        <v>5443.1080000000002</v>
      </c>
    </row>
    <row r="269" spans="1:4">
      <c r="A269" s="2" t="s">
        <v>498</v>
      </c>
      <c r="B269" s="1">
        <v>13.888889000000001</v>
      </c>
      <c r="C269" s="1">
        <v>4535.924</v>
      </c>
    </row>
    <row r="270" spans="1:4">
      <c r="A270" s="2" t="s">
        <v>499</v>
      </c>
      <c r="B270" s="1">
        <v>37.135278999999997</v>
      </c>
      <c r="C270" s="1">
        <v>6350.2929999999997</v>
      </c>
      <c r="D270" t="s">
        <v>500</v>
      </c>
    </row>
    <row r="271" spans="1:4">
      <c r="A271" s="2" t="s">
        <v>501</v>
      </c>
      <c r="B271" s="1">
        <v>50</v>
      </c>
      <c r="C271" s="1">
        <v>2267.962</v>
      </c>
      <c r="D271" t="s">
        <v>502</v>
      </c>
    </row>
    <row r="272" spans="1:4">
      <c r="A272" s="2" t="s">
        <v>503</v>
      </c>
      <c r="B272" s="1">
        <v>29.245283000000001</v>
      </c>
      <c r="C272" s="1">
        <v>6812.2730000000001</v>
      </c>
      <c r="D272" t="s">
        <v>504</v>
      </c>
    </row>
    <row r="273" spans="1:4">
      <c r="A273" s="2" t="s">
        <v>1030</v>
      </c>
      <c r="B273" s="1">
        <v>15.5</v>
      </c>
      <c r="C273" s="1">
        <v>2885.8330000000001</v>
      </c>
      <c r="D273" t="s">
        <v>1031</v>
      </c>
    </row>
    <row r="274" spans="1:4">
      <c r="A274" s="2" t="s">
        <v>505</v>
      </c>
      <c r="B274" s="1">
        <v>27.97</v>
      </c>
      <c r="C274" s="1">
        <v>8700</v>
      </c>
    </row>
    <row r="275" spans="1:4">
      <c r="A275" s="305" t="s">
        <v>506</v>
      </c>
      <c r="B275" s="306">
        <v>15.925668999999999</v>
      </c>
      <c r="C275" s="306">
        <v>1133.981</v>
      </c>
      <c r="D275" t="s">
        <v>507</v>
      </c>
    </row>
    <row r="276" spans="1:4">
      <c r="A276" s="2" t="s">
        <v>508</v>
      </c>
      <c r="B276" s="1">
        <v>14</v>
      </c>
      <c r="C276" s="1">
        <v>3680</v>
      </c>
    </row>
    <row r="277" spans="1:4">
      <c r="B277" s="1"/>
      <c r="C277" s="1"/>
    </row>
    <row r="278" spans="1:4">
      <c r="A278" s="3" t="s">
        <v>509</v>
      </c>
      <c r="B278" s="77" t="s">
        <v>510</v>
      </c>
      <c r="C278" s="1"/>
    </row>
    <row r="279" spans="1:4">
      <c r="A279" s="2" t="s">
        <v>511</v>
      </c>
      <c r="B279" s="1">
        <v>0.46500000000000002</v>
      </c>
      <c r="C279" s="1"/>
    </row>
    <row r="280" spans="1:4">
      <c r="A280" s="2" t="s">
        <v>512</v>
      </c>
      <c r="B280" s="1">
        <v>0.33</v>
      </c>
      <c r="C280" s="1"/>
    </row>
    <row r="281" spans="1:4">
      <c r="B281" s="1"/>
      <c r="C281" s="1"/>
    </row>
    <row r="282" spans="1:4">
      <c r="A282" s="3" t="s">
        <v>513</v>
      </c>
      <c r="B282" s="77" t="s">
        <v>514</v>
      </c>
      <c r="C282" s="1"/>
    </row>
    <row r="283" spans="1:4">
      <c r="A283" s="2" t="s">
        <v>355</v>
      </c>
      <c r="B283" s="1">
        <v>2.66</v>
      </c>
      <c r="C283" s="1"/>
    </row>
    <row r="284" spans="1:4">
      <c r="A284" s="2" t="s">
        <v>358</v>
      </c>
      <c r="B284" s="1">
        <v>7.86</v>
      </c>
      <c r="C284" s="1"/>
    </row>
    <row r="285" spans="1:4">
      <c r="A285" s="2" t="s">
        <v>404</v>
      </c>
      <c r="B285" s="1">
        <v>4.5</v>
      </c>
      <c r="C285" s="1"/>
    </row>
    <row r="286" spans="1:4">
      <c r="B286" s="1"/>
      <c r="C286" s="1"/>
    </row>
    <row r="287" spans="1:4">
      <c r="A287" s="3" t="s">
        <v>515</v>
      </c>
      <c r="B287" s="77" t="s">
        <v>516</v>
      </c>
      <c r="C287" s="77" t="s">
        <v>517</v>
      </c>
    </row>
    <row r="288" spans="1:4">
      <c r="A288" s="2" t="s">
        <v>518</v>
      </c>
      <c r="B288" s="1">
        <v>6.9</v>
      </c>
      <c r="C288" s="1">
        <v>0.01</v>
      </c>
    </row>
    <row r="289" spans="1:4">
      <c r="A289" s="2" t="s">
        <v>519</v>
      </c>
      <c r="B289" s="1">
        <v>12.5</v>
      </c>
      <c r="C289" s="1">
        <v>0.01</v>
      </c>
    </row>
    <row r="290" spans="1:4">
      <c r="A290" s="2" t="s">
        <v>520</v>
      </c>
      <c r="B290" s="1">
        <v>34.4</v>
      </c>
      <c r="C290" s="1">
        <v>3.3048000000000001E-2</v>
      </c>
    </row>
    <row r="291" spans="1:4">
      <c r="B291" s="1"/>
      <c r="C291" s="1"/>
    </row>
    <row r="292" spans="1:4">
      <c r="A292" s="3" t="s">
        <v>521</v>
      </c>
      <c r="B292" s="77" t="s">
        <v>516</v>
      </c>
      <c r="C292" s="77" t="s">
        <v>517</v>
      </c>
    </row>
    <row r="293" spans="1:4">
      <c r="A293" s="2" t="s">
        <v>522</v>
      </c>
      <c r="B293" s="1">
        <v>39.46</v>
      </c>
      <c r="C293" s="1">
        <v>0.5</v>
      </c>
    </row>
    <row r="294" spans="1:4">
      <c r="A294" s="2" t="s">
        <v>523</v>
      </c>
      <c r="B294" s="1">
        <v>1.2E-2</v>
      </c>
      <c r="C294" s="1" t="s">
        <v>524</v>
      </c>
    </row>
    <row r="295" spans="1:4">
      <c r="A295" s="2" t="s">
        <v>525</v>
      </c>
      <c r="B295" s="1">
        <v>2.5000000000000001E-2</v>
      </c>
      <c r="C295" s="1" t="s">
        <v>526</v>
      </c>
    </row>
    <row r="296" spans="1:4">
      <c r="A296" s="2" t="s">
        <v>527</v>
      </c>
      <c r="B296" s="1">
        <v>0.12</v>
      </c>
      <c r="C296" s="1" t="s">
        <v>528</v>
      </c>
    </row>
    <row r="297" spans="1:4">
      <c r="A297" s="2" t="s">
        <v>529</v>
      </c>
      <c r="B297" s="1">
        <v>7.71</v>
      </c>
      <c r="C297" s="1">
        <v>3.7000000000000002E-3</v>
      </c>
    </row>
    <row r="299" spans="1:4">
      <c r="A299" s="7" t="s">
        <v>728</v>
      </c>
      <c r="B299" s="77" t="s">
        <v>729</v>
      </c>
      <c r="C299" s="77" t="s">
        <v>730</v>
      </c>
      <c r="D299" s="77" t="s">
        <v>748</v>
      </c>
    </row>
    <row r="300" spans="1:4">
      <c r="A300" s="2" t="s">
        <v>732</v>
      </c>
      <c r="B300" s="6">
        <v>0.2</v>
      </c>
      <c r="C300" s="6">
        <v>0.8</v>
      </c>
      <c r="D300" s="6">
        <v>1</v>
      </c>
    </row>
    <row r="301" spans="1:4">
      <c r="A301" s="2" t="s">
        <v>733</v>
      </c>
      <c r="B301" s="6">
        <v>0.08</v>
      </c>
      <c r="C301" s="6">
        <v>0.9</v>
      </c>
      <c r="D301" s="6">
        <v>0.5</v>
      </c>
    </row>
    <row r="302" spans="1:4">
      <c r="A302" s="272" t="s">
        <v>886</v>
      </c>
      <c r="B302" s="6">
        <v>0.05</v>
      </c>
      <c r="C302" s="6">
        <v>0.5</v>
      </c>
      <c r="D302" s="6">
        <v>0</v>
      </c>
    </row>
    <row r="303" spans="1:4">
      <c r="A303" s="2" t="s">
        <v>731</v>
      </c>
      <c r="B303" s="6">
        <v>0</v>
      </c>
      <c r="C303" s="6">
        <v>1</v>
      </c>
      <c r="D303" s="6">
        <v>0</v>
      </c>
    </row>
    <row r="305" spans="1:3">
      <c r="A305" s="7" t="s">
        <v>736</v>
      </c>
      <c r="B305" s="77" t="s">
        <v>510</v>
      </c>
    </row>
    <row r="306" spans="1:3">
      <c r="A306" s="2" t="s">
        <v>696</v>
      </c>
      <c r="B306" s="6">
        <v>0.2</v>
      </c>
    </row>
    <row r="307" spans="1:3">
      <c r="A307" s="2" t="s">
        <v>688</v>
      </c>
      <c r="B307" s="6">
        <v>0.18</v>
      </c>
    </row>
    <row r="308" spans="1:3">
      <c r="A308" s="2" t="s">
        <v>697</v>
      </c>
      <c r="B308" s="6">
        <v>0.16500000000000001</v>
      </c>
    </row>
    <row r="309" spans="1:3">
      <c r="A309" s="2" t="s">
        <v>699</v>
      </c>
      <c r="B309" s="6">
        <v>0.216</v>
      </c>
    </row>
    <row r="310" spans="1:3">
      <c r="A310" s="2" t="s">
        <v>700</v>
      </c>
      <c r="B310" s="6">
        <v>0.19500000000000001</v>
      </c>
    </row>
    <row r="311" spans="1:3">
      <c r="A311" s="2" t="s">
        <v>737</v>
      </c>
      <c r="B311" s="6">
        <v>1</v>
      </c>
    </row>
    <row r="313" spans="1:3">
      <c r="A313" s="7" t="s">
        <v>740</v>
      </c>
      <c r="B313" s="77" t="s">
        <v>231</v>
      </c>
      <c r="C313" s="77" t="s">
        <v>744</v>
      </c>
    </row>
    <row r="314" spans="1:3">
      <c r="A314" s="2" t="s">
        <v>739</v>
      </c>
      <c r="B314" s="6">
        <v>0.5</v>
      </c>
      <c r="C314" s="6">
        <v>0.4</v>
      </c>
    </row>
    <row r="315" spans="1:3">
      <c r="A315" s="2" t="s">
        <v>737</v>
      </c>
      <c r="B315" s="6">
        <v>1</v>
      </c>
      <c r="C315" s="6">
        <v>0</v>
      </c>
    </row>
    <row r="317" spans="1:3">
      <c r="A317" s="7" t="s">
        <v>741</v>
      </c>
      <c r="B317" s="77" t="s">
        <v>231</v>
      </c>
      <c r="C317" s="77" t="s">
        <v>744</v>
      </c>
    </row>
    <row r="318" spans="1:3">
      <c r="A318" s="2" t="s">
        <v>743</v>
      </c>
      <c r="B318" s="6">
        <v>1</v>
      </c>
      <c r="C318" s="273">
        <v>1</v>
      </c>
    </row>
    <row r="319" spans="1:3">
      <c r="A319" s="2" t="s">
        <v>742</v>
      </c>
      <c r="B319" s="6">
        <v>0.32</v>
      </c>
      <c r="C319" s="273">
        <v>0.44280000000000003</v>
      </c>
    </row>
    <row r="321" spans="1:5">
      <c r="A321" s="129" t="s">
        <v>481</v>
      </c>
      <c r="B321" s="77" t="s">
        <v>778</v>
      </c>
    </row>
    <row r="322" spans="1:5">
      <c r="A322" s="2" t="s">
        <v>780</v>
      </c>
      <c r="B322" s="130">
        <v>0.75</v>
      </c>
    </row>
    <row r="323" spans="1:5">
      <c r="A323" s="2" t="s">
        <v>779</v>
      </c>
      <c r="B323" s="130">
        <v>1</v>
      </c>
    </row>
    <row r="325" spans="1:5">
      <c r="A325" s="129" t="s">
        <v>466</v>
      </c>
      <c r="B325" s="77" t="s">
        <v>955</v>
      </c>
      <c r="C325" s="77" t="s">
        <v>957</v>
      </c>
      <c r="D325" s="77" t="s">
        <v>958</v>
      </c>
    </row>
    <row r="326" spans="1:5">
      <c r="A326" s="2" t="s">
        <v>228</v>
      </c>
      <c r="B326" s="288">
        <v>0.82499999999999996</v>
      </c>
      <c r="C326" s="288">
        <v>90</v>
      </c>
      <c r="D326" s="288">
        <v>-8.4900000000000003E-2</v>
      </c>
    </row>
    <row r="327" spans="1:5">
      <c r="A327" s="2" t="s">
        <v>358</v>
      </c>
      <c r="B327" s="288">
        <v>1.1040000000000001</v>
      </c>
      <c r="C327" s="288" t="s">
        <v>959</v>
      </c>
      <c r="D327" s="288" t="s">
        <v>959</v>
      </c>
    </row>
    <row r="328" spans="1:5">
      <c r="A328" s="2" t="s">
        <v>956</v>
      </c>
      <c r="B328" s="288">
        <v>0.99399999999999999</v>
      </c>
      <c r="C328" s="288">
        <v>1.1040000000000001</v>
      </c>
      <c r="D328" s="291">
        <v>-0.14799999999999999</v>
      </c>
    </row>
    <row r="329" spans="1:5">
      <c r="B329" s="288"/>
      <c r="C329" s="288"/>
    </row>
    <row r="330" spans="1:5">
      <c r="A330" s="129" t="s">
        <v>977</v>
      </c>
      <c r="B330" s="77" t="s">
        <v>671</v>
      </c>
      <c r="C330" s="77" t="s">
        <v>517</v>
      </c>
      <c r="D330" s="77" t="s">
        <v>516</v>
      </c>
      <c r="E330" s="77" t="s">
        <v>979</v>
      </c>
    </row>
    <row r="331" spans="1:5">
      <c r="A331" s="2" t="s">
        <v>978</v>
      </c>
      <c r="B331" s="290">
        <v>0</v>
      </c>
      <c r="C331" s="290">
        <v>0</v>
      </c>
      <c r="D331" s="290">
        <v>0</v>
      </c>
      <c r="E331" s="290">
        <v>0</v>
      </c>
    </row>
    <row r="332" spans="1:5">
      <c r="A332" s="2" t="s">
        <v>984</v>
      </c>
      <c r="B332" s="290">
        <v>12</v>
      </c>
      <c r="C332" s="290">
        <v>1.0562183730000001</v>
      </c>
      <c r="D332" s="290">
        <v>428.19119760000001</v>
      </c>
      <c r="E332" s="290">
        <v>34</v>
      </c>
    </row>
    <row r="333" spans="1:5">
      <c r="A333" s="2" t="s">
        <v>985</v>
      </c>
      <c r="B333" s="293">
        <v>10</v>
      </c>
      <c r="C333" s="293">
        <v>0.98259457230000002</v>
      </c>
      <c r="D333" s="293">
        <v>213.18841409999999</v>
      </c>
      <c r="E333" s="293">
        <v>10</v>
      </c>
    </row>
  </sheetData>
  <sortState ref="A268:D276">
    <sortCondition ref="A268"/>
  </sortState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I53" sqref="I53"/>
    </sheetView>
  </sheetViews>
  <sheetFormatPr defaultRowHeight="15"/>
  <sheetData>
    <row r="1" spans="1:5">
      <c r="A1" s="326" t="s">
        <v>531</v>
      </c>
      <c r="B1" s="326"/>
      <c r="C1" s="326" t="s">
        <v>533</v>
      </c>
      <c r="D1" s="326"/>
      <c r="E1" s="4"/>
    </row>
    <row r="2" spans="1:5">
      <c r="B2">
        <v>252</v>
      </c>
      <c r="C2">
        <v>1</v>
      </c>
    </row>
    <row r="3" spans="1:5">
      <c r="B3">
        <v>203</v>
      </c>
      <c r="C3">
        <v>1.5</v>
      </c>
    </row>
    <row r="4" spans="1:5">
      <c r="B4">
        <v>152</v>
      </c>
      <c r="C4">
        <v>2</v>
      </c>
    </row>
    <row r="5" spans="1:5">
      <c r="B5">
        <v>102</v>
      </c>
      <c r="C5">
        <v>2.5</v>
      </c>
    </row>
    <row r="6" spans="1:5">
      <c r="B6">
        <v>76</v>
      </c>
      <c r="C6">
        <v>3</v>
      </c>
    </row>
    <row r="7" spans="1:5">
      <c r="B7">
        <v>51</v>
      </c>
      <c r="C7">
        <v>5</v>
      </c>
    </row>
    <row r="8" spans="1:5">
      <c r="B8">
        <v>38</v>
      </c>
      <c r="C8">
        <v>6</v>
      </c>
    </row>
    <row r="9" spans="1:5">
      <c r="B9">
        <v>25</v>
      </c>
      <c r="C9">
        <v>7</v>
      </c>
    </row>
    <row r="10" spans="1:5">
      <c r="B10">
        <v>10</v>
      </c>
      <c r="C10">
        <v>7.7</v>
      </c>
    </row>
    <row r="11" spans="1:5">
      <c r="B11">
        <v>5</v>
      </c>
      <c r="C11">
        <v>9</v>
      </c>
    </row>
    <row r="13" spans="1:5">
      <c r="B13">
        <v>252</v>
      </c>
      <c r="C13">
        <v>0.6</v>
      </c>
    </row>
    <row r="14" spans="1:5">
      <c r="B14">
        <v>203</v>
      </c>
      <c r="C14">
        <v>1</v>
      </c>
    </row>
    <row r="15" spans="1:5">
      <c r="B15">
        <v>152</v>
      </c>
      <c r="C15">
        <v>1.5</v>
      </c>
    </row>
    <row r="16" spans="1:5">
      <c r="B16">
        <v>102</v>
      </c>
      <c r="C16">
        <v>1.75</v>
      </c>
    </row>
    <row r="17" spans="2:3">
      <c r="B17">
        <v>76</v>
      </c>
      <c r="C17">
        <v>2</v>
      </c>
    </row>
    <row r="18" spans="2:3">
      <c r="B18">
        <v>51</v>
      </c>
      <c r="C18">
        <v>2.25</v>
      </c>
    </row>
    <row r="19" spans="2:3">
      <c r="B19">
        <v>38</v>
      </c>
      <c r="C19">
        <v>2.5</v>
      </c>
    </row>
    <row r="20" spans="2:3">
      <c r="B20">
        <v>25</v>
      </c>
      <c r="C20">
        <v>3</v>
      </c>
    </row>
    <row r="21" spans="2:3">
      <c r="B21">
        <v>10</v>
      </c>
      <c r="C21">
        <v>3.5</v>
      </c>
    </row>
  </sheetData>
  <mergeCells count="2">
    <mergeCell ref="A1:B1"/>
    <mergeCell ref="C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2"/>
  <sheetViews>
    <sheetView zoomScaleNormal="100" workbookViewId="0">
      <selection activeCell="F51" sqref="F51"/>
    </sheetView>
  </sheetViews>
  <sheetFormatPr defaultRowHeight="15"/>
  <cols>
    <col min="1" max="1" width="42.85546875" style="5" customWidth="1"/>
    <col min="2" max="4" width="14.28515625" style="245" customWidth="1"/>
    <col min="5" max="5" width="17.28515625" customWidth="1"/>
    <col min="6" max="6" width="17.140625" customWidth="1"/>
    <col min="7" max="7" width="14.28515625" customWidth="1"/>
    <col min="8" max="9" width="17.140625" customWidth="1"/>
  </cols>
  <sheetData>
    <row r="1" spans="1:4">
      <c r="A1" s="7" t="s">
        <v>2</v>
      </c>
      <c r="B1" s="245" t="s">
        <v>1036</v>
      </c>
    </row>
    <row r="2" spans="1:4">
      <c r="A2" s="7" t="s">
        <v>3</v>
      </c>
      <c r="B2" s="245" t="s">
        <v>1037</v>
      </c>
    </row>
    <row r="4" spans="1:4">
      <c r="A4" s="5" t="s">
        <v>112</v>
      </c>
      <c r="B4" s="245">
        <f>'Hull Design'!C2</f>
        <v>6.3</v>
      </c>
      <c r="C4" s="245" t="s">
        <v>297</v>
      </c>
    </row>
    <row r="5" spans="1:4">
      <c r="A5" s="5" t="s">
        <v>113</v>
      </c>
      <c r="B5" s="245">
        <f xml:space="preserve"> HullWidth + IF('Hull Design'!C146 &gt; 0, (2 * ('Hull Design'!C146 + 'Hull Design'!C145) / 1000), TrackWidth * 2 * 1.13 / 1000)</f>
        <v>2.6204000000000001</v>
      </c>
      <c r="C5" s="245" t="s">
        <v>297</v>
      </c>
      <c r="D5" s="254"/>
    </row>
    <row r="6" spans="1:4">
      <c r="A6" s="5" t="s">
        <v>114</v>
      </c>
      <c r="B6" s="245">
        <f xml:space="preserve"> HullHeight + TurretHeight + GroundClearance</f>
        <v>2.97</v>
      </c>
      <c r="C6" s="245" t="s">
        <v>297</v>
      </c>
    </row>
    <row r="8" spans="1:4">
      <c r="A8" s="5" t="s">
        <v>5</v>
      </c>
      <c r="B8" s="245">
        <f xml:space="preserve"> 'Hull Design'!C272 + 'Turret Design'!C159</f>
        <v>4</v>
      </c>
      <c r="C8" s="245" t="s">
        <v>273</v>
      </c>
    </row>
    <row r="9" spans="1:4">
      <c r="A9" s="5" t="s">
        <v>115</v>
      </c>
      <c r="B9" s="245">
        <f xml:space="preserve"> 'Hull Design'!C273</f>
        <v>0</v>
      </c>
      <c r="C9" s="245" t="s">
        <v>273</v>
      </c>
    </row>
    <row r="11" spans="1:4">
      <c r="A11" s="5" t="s">
        <v>116</v>
      </c>
    </row>
    <row r="12" spans="1:4">
      <c r="A12" s="5" t="s">
        <v>117</v>
      </c>
      <c r="B12" s="245">
        <f xml:space="preserve"> ('Hull Design'!C274 + 'Turret Design'!C160) / 1000</f>
        <v>0.72</v>
      </c>
      <c r="C12" s="245" t="s">
        <v>840</v>
      </c>
    </row>
    <row r="13" spans="1:4">
      <c r="A13" s="5" t="s">
        <v>118</v>
      </c>
      <c r="B13" s="245">
        <f xml:space="preserve"> 'Hull Design'!C275 / 1000</f>
        <v>0</v>
      </c>
      <c r="C13" s="245" t="s">
        <v>840</v>
      </c>
    </row>
    <row r="14" spans="1:4">
      <c r="A14" s="5" t="s">
        <v>119</v>
      </c>
      <c r="B14" s="245">
        <f xml:space="preserve"> Misc!B33</f>
        <v>0.18147545035181212</v>
      </c>
      <c r="C14" s="245" t="s">
        <v>840</v>
      </c>
    </row>
    <row r="15" spans="1:4">
      <c r="A15" s="5" t="s">
        <v>120</v>
      </c>
      <c r="B15" s="245">
        <f xml:space="preserve"> 'Hull Design'!C264 + 'Turret Design'!C157</f>
        <v>19.923476897758967</v>
      </c>
      <c r="C15" s="245" t="s">
        <v>840</v>
      </c>
    </row>
    <row r="16" spans="1:4">
      <c r="A16" s="5" t="s">
        <v>121</v>
      </c>
      <c r="B16" s="245">
        <f xml:space="preserve"> 'Big Gun'!B44 + 'Big Gun'!C44 + 'Big Gun'!B118 + 'Big Gun'!C118 + 'Small Guns'!B7 + 'Small Guns'!C7</f>
        <v>4.2495360593483369</v>
      </c>
      <c r="C16" s="245" t="s">
        <v>840</v>
      </c>
    </row>
    <row r="17" spans="1:4">
      <c r="A17" s="5" t="s">
        <v>122</v>
      </c>
      <c r="B17" s="245">
        <f xml:space="preserve"> 'Big Gun'!B70 + 'Big Gun'!C70 + 'Big Gun'!B144 + 'Big Gun'!C144 + (('Small Guns'!B16 + 'Small Guns'!C16) / 1000)</f>
        <v>1.4929915331267243</v>
      </c>
      <c r="C17" s="245" t="s">
        <v>840</v>
      </c>
    </row>
    <row r="18" spans="1:4">
      <c r="A18" s="5" t="s">
        <v>123</v>
      </c>
      <c r="B18" s="245">
        <f xml:space="preserve"> Engine!C9 / 1000</f>
        <v>0.60955411534527981</v>
      </c>
      <c r="C18" s="245" t="s">
        <v>840</v>
      </c>
    </row>
    <row r="19" spans="1:4">
      <c r="A19" s="5" t="s">
        <v>124</v>
      </c>
      <c r="B19" s="245">
        <f xml:space="preserve"> Engine!D22 / 1000</f>
        <v>0.47193564527999998</v>
      </c>
      <c r="C19" s="245" t="s">
        <v>840</v>
      </c>
    </row>
    <row r="20" spans="1:4">
      <c r="A20" s="5" t="s">
        <v>125</v>
      </c>
      <c r="B20" s="245">
        <f xml:space="preserve"> Engine!C15 / 1000</f>
        <v>0</v>
      </c>
      <c r="C20" s="245" t="s">
        <v>840</v>
      </c>
    </row>
    <row r="21" spans="1:4">
      <c r="A21" s="5" t="s">
        <v>126</v>
      </c>
      <c r="B21" s="245">
        <f xml:space="preserve"> Engine!D28 / 1000</f>
        <v>0</v>
      </c>
      <c r="C21" s="245" t="s">
        <v>840</v>
      </c>
    </row>
    <row r="22" spans="1:4">
      <c r="A22" s="5" t="s">
        <v>127</v>
      </c>
      <c r="B22" s="245">
        <f xml:space="preserve"> Engine!C34 / 1000</f>
        <v>0.90500000000000003</v>
      </c>
      <c r="C22" s="245" t="s">
        <v>840</v>
      </c>
    </row>
    <row r="23" spans="1:4">
      <c r="A23" s="5" t="s">
        <v>128</v>
      </c>
      <c r="B23" s="245">
        <f xml:space="preserve"> Engine!C48</f>
        <v>0</v>
      </c>
      <c r="C23" s="245" t="s">
        <v>840</v>
      </c>
    </row>
    <row r="24" spans="1:4">
      <c r="A24" s="5" t="s">
        <v>129</v>
      </c>
      <c r="B24" s="245">
        <f xml:space="preserve"> Drivetrain!B4 / 1000</f>
        <v>2.129032258064516</v>
      </c>
      <c r="C24" s="245" t="s">
        <v>840</v>
      </c>
    </row>
    <row r="25" spans="1:4">
      <c r="A25" s="5" t="s">
        <v>130</v>
      </c>
      <c r="B25" s="245">
        <f xml:space="preserve"> Drivetrain!B30 / 1000</f>
        <v>3.3384025945027105</v>
      </c>
      <c r="C25" s="245" t="s">
        <v>840</v>
      </c>
    </row>
    <row r="26" spans="1:4">
      <c r="A26" s="5" t="s">
        <v>131</v>
      </c>
      <c r="B26" s="245">
        <f xml:space="preserve"> Drivetrain!B17 / 1000</f>
        <v>0.60919879782821129</v>
      </c>
      <c r="C26" s="245" t="s">
        <v>840</v>
      </c>
    </row>
    <row r="27" spans="1:4">
      <c r="A27" s="5" t="s">
        <v>132</v>
      </c>
      <c r="B27" s="245">
        <v>0</v>
      </c>
      <c r="C27" s="245" t="s">
        <v>840</v>
      </c>
      <c r="D27" s="245">
        <f xml:space="preserve"> (B15 * 0.25) + (B18 * 0.5) + (B22 * 0.5) + (B16 * 0.25)</f>
        <v>6.8005302969494652</v>
      </c>
    </row>
    <row r="28" spans="1:4">
      <c r="A28" s="5" t="s">
        <v>133</v>
      </c>
      <c r="B28" s="247">
        <v>0</v>
      </c>
      <c r="C28" s="245" t="s">
        <v>840</v>
      </c>
    </row>
    <row r="30" spans="1:4" ht="15.75">
      <c r="A30" s="253" t="s">
        <v>134</v>
      </c>
      <c r="D30" s="245" t="s">
        <v>1029</v>
      </c>
    </row>
    <row r="31" spans="1:4">
      <c r="A31" s="5" t="s">
        <v>135</v>
      </c>
      <c r="B31" s="248">
        <f xml:space="preserve"> Engine!G8</f>
        <v>301.55448749999999</v>
      </c>
      <c r="C31" s="245" t="s">
        <v>790</v>
      </c>
    </row>
    <row r="32" spans="1:4">
      <c r="A32" s="5" t="s">
        <v>136</v>
      </c>
      <c r="B32" s="248">
        <f xml:space="preserve"> Engine!B22 * 'Hull Design'!G5</f>
        <v>560.24094344000002</v>
      </c>
      <c r="C32" s="245" t="s">
        <v>846</v>
      </c>
    </row>
    <row r="33" spans="1:5">
      <c r="A33" s="5" t="s">
        <v>137</v>
      </c>
      <c r="B33" s="248">
        <f xml:space="preserve"> 1.34 * SQRT(HullLength * 3.2808399) * 1.15077945 * 'Hull Design'!G6</f>
        <v>11.282583989824614</v>
      </c>
      <c r="C33" s="245" t="s">
        <v>848</v>
      </c>
    </row>
    <row r="35" spans="1:5">
      <c r="B35" s="248" t="s">
        <v>138</v>
      </c>
      <c r="C35" s="248" t="s">
        <v>139</v>
      </c>
      <c r="D35" s="248" t="s">
        <v>140</v>
      </c>
    </row>
    <row r="36" spans="1:5">
      <c r="A36" s="5" t="s">
        <v>142</v>
      </c>
      <c r="B36" s="248">
        <f xml:space="preserve"> SUM(B14:B16) + B18 + SUM(B20:B27)</f>
        <v>31.945676173199832</v>
      </c>
      <c r="C36" s="248">
        <f xml:space="preserve"> SUM(B14:B16) + B18 + SUM(B20:B27)</f>
        <v>31.945676173199832</v>
      </c>
      <c r="D36" s="248">
        <f xml:space="preserve"> SUM(B14:B16) + B18 + SUM(B20:B27)</f>
        <v>31.945676173199832</v>
      </c>
      <c r="E36" t="s">
        <v>840</v>
      </c>
    </row>
    <row r="37" spans="1:5">
      <c r="A37" s="5" t="s">
        <v>141</v>
      </c>
      <c r="B37" s="248">
        <f xml:space="preserve"> SUM(B12:B27) + B28</f>
        <v>34.630603351606553</v>
      </c>
      <c r="C37" s="248">
        <f xml:space="preserve"> SUM(B12:B27) + B28</f>
        <v>34.630603351606553</v>
      </c>
      <c r="D37" s="248">
        <f xml:space="preserve"> SUM(B12:B28)</f>
        <v>34.630603351606553</v>
      </c>
      <c r="E37" t="s">
        <v>840</v>
      </c>
    </row>
    <row r="38" spans="1:5">
      <c r="A38" s="5" t="s">
        <v>143</v>
      </c>
      <c r="B38" s="248">
        <f xml:space="preserve"> Engine!C35 - B37</f>
        <v>0.21189664839344857</v>
      </c>
      <c r="C38" s="248">
        <f xml:space="preserve"> Engine!C35 - C37</f>
        <v>0.21189664839344857</v>
      </c>
      <c r="D38" s="248">
        <f xml:space="preserve"> Engine!C35 - D37</f>
        <v>0.21189664839344857</v>
      </c>
      <c r="E38" t="s">
        <v>840</v>
      </c>
    </row>
    <row r="39" spans="1:5">
      <c r="A39" s="5" t="s">
        <v>144</v>
      </c>
      <c r="B39" s="248">
        <f xml:space="preserve"> Drivetrain!B2 - B37</f>
        <v>-1.6306033516065526</v>
      </c>
      <c r="C39" s="248">
        <f xml:space="preserve"> Drivetrain!B2 - C37</f>
        <v>-1.6306033516065526</v>
      </c>
      <c r="D39" s="248">
        <f xml:space="preserve"> Drivetrain!B2 - D37</f>
        <v>-1.6306033516065526</v>
      </c>
      <c r="E39" t="s">
        <v>840</v>
      </c>
    </row>
    <row r="40" spans="1:5">
      <c r="A40" s="5" t="s">
        <v>145</v>
      </c>
      <c r="B40" s="248">
        <f xml:space="preserve"> 'Hull Design'!G8 * B37 * 1000 * 2.20462262 / (Drivetrain!B28 / 6.45)</f>
        <v>71.579214431414556</v>
      </c>
      <c r="C40" s="248">
        <f xml:space="preserve"> 'Hull Design'!G8 * C37 * 1000 * 2.20462262 / (Drivetrain!B28 / 6.45)</f>
        <v>71.579214431414556</v>
      </c>
      <c r="D40" s="248">
        <f xml:space="preserve"> 'Hull Design'!G8 * D37 * 1000 * 2.20462262 / (Drivetrain!B28 / 6.45)</f>
        <v>71.579214431414556</v>
      </c>
      <c r="E40" t="s">
        <v>853</v>
      </c>
    </row>
    <row r="41" spans="1:5">
      <c r="A41" s="5" t="s">
        <v>146</v>
      </c>
      <c r="B41" s="248">
        <f xml:space="preserve"> B31 / B37</f>
        <v>8.7077457022131419</v>
      </c>
      <c r="C41" s="248">
        <f xml:space="preserve"> B31 / C37</f>
        <v>8.7077457022131419</v>
      </c>
      <c r="D41" s="248">
        <f xml:space="preserve"> B31 / D37</f>
        <v>8.7077457022131419</v>
      </c>
      <c r="E41" t="s">
        <v>849</v>
      </c>
    </row>
    <row r="42" spans="1:5">
      <c r="A42" s="5" t="s">
        <v>147</v>
      </c>
      <c r="B42" s="248">
        <f xml:space="preserve">  'Tracked Report'!Q71 * 'Hull Design'!G6</f>
        <v>48.073853004696069</v>
      </c>
      <c r="C42" s="248">
        <f xml:space="preserve"> C41 * 1.8125 * 'Hull Design'!G6</f>
        <v>25.399936917630793</v>
      </c>
      <c r="D42" s="248">
        <f xml:space="preserve"> D41 * 1.8125 * 'Hull Design'!G6</f>
        <v>25.399936917630793</v>
      </c>
      <c r="E42" t="s">
        <v>848</v>
      </c>
    </row>
    <row r="43" spans="1:5">
      <c r="A43" s="5" t="s">
        <v>148</v>
      </c>
      <c r="B43" s="248">
        <f xml:space="preserve"> 'Hull Design'!G7 * Engine!D22 * 1000 * B42 / (Engine!B8 * Engine!F8)</f>
        <v>386.51736296063604</v>
      </c>
      <c r="C43" s="248">
        <f xml:space="preserve"> 'Hull Design'!G7 * Engine!D22 * 1000 * C42 / (Engine!B8 * Engine!F8)</f>
        <v>204.2173868570539</v>
      </c>
      <c r="D43" s="248">
        <f xml:space="preserve"> 'Hull Design'!G7 * Engine!D22 * 1000 * D42 / (Engine!B8 * Engine!F8)</f>
        <v>204.2173868570539</v>
      </c>
      <c r="E43" t="s">
        <v>851</v>
      </c>
    </row>
    <row r="44" spans="1:5">
      <c r="B44" s="248"/>
      <c r="C44" s="248"/>
      <c r="D44" s="248"/>
    </row>
    <row r="45" spans="1:5" ht="15.75">
      <c r="A45" s="253" t="s">
        <v>149</v>
      </c>
      <c r="B45" s="248"/>
      <c r="C45" s="248"/>
      <c r="D45" s="248"/>
    </row>
    <row r="46" spans="1:5">
      <c r="A46" s="5" t="s">
        <v>150</v>
      </c>
      <c r="B46" s="248">
        <f xml:space="preserve"> B37 / 'Hull Design'!C281</f>
        <v>2.2018272117854303</v>
      </c>
      <c r="C46" s="248">
        <f xml:space="preserve"> C37 / 'Hull Design'!C281</f>
        <v>2.2018272117854303</v>
      </c>
      <c r="D46" s="248">
        <f xml:space="preserve"> D37 / 'Hull Design'!C281</f>
        <v>2.2018272117854303</v>
      </c>
      <c r="E46" t="s">
        <v>514</v>
      </c>
    </row>
    <row r="47" spans="1:5">
      <c r="A47" s="5" t="s">
        <v>151</v>
      </c>
      <c r="B47" s="248">
        <f t="shared" ref="B47:D48" si="0" xml:space="preserve"> HullHeight + GroundClearance - B49</f>
        <v>-0.56677321178973505</v>
      </c>
      <c r="C47" s="248">
        <f t="shared" si="0"/>
        <v>-0.56677321178973505</v>
      </c>
      <c r="D47" s="248">
        <f t="shared" si="0"/>
        <v>-0.56677321178973505</v>
      </c>
      <c r="E47" t="s">
        <v>297</v>
      </c>
    </row>
    <row r="48" spans="1:5">
      <c r="A48" s="5" t="s">
        <v>152</v>
      </c>
      <c r="B48" s="248">
        <f t="shared" si="0"/>
        <v>-1.7084011019953453</v>
      </c>
      <c r="C48" s="248">
        <f t="shared" si="0"/>
        <v>-1.7084011019953453</v>
      </c>
      <c r="D48" s="248">
        <f t="shared" si="0"/>
        <v>-1.7084011019953453</v>
      </c>
      <c r="E48" t="s">
        <v>297</v>
      </c>
    </row>
    <row r="49" spans="1:6">
      <c r="A49" s="5" t="s">
        <v>153</v>
      </c>
      <c r="B49" s="248">
        <f xml:space="preserve"> B37 / Engine!C52</f>
        <v>2.9967732117897352</v>
      </c>
      <c r="C49" s="248">
        <f xml:space="preserve"> C37 / Engine!C52</f>
        <v>2.9967732117897352</v>
      </c>
      <c r="D49" s="248">
        <f xml:space="preserve"> D37 / Engine!C52</f>
        <v>2.9967732117897352</v>
      </c>
      <c r="E49" t="s">
        <v>297</v>
      </c>
    </row>
    <row r="50" spans="1:6">
      <c r="A50" s="5" t="s">
        <v>154</v>
      </c>
      <c r="B50" s="248">
        <f xml:space="preserve"> B49 * 1.38095238095238</f>
        <v>4.1384011019953455</v>
      </c>
      <c r="C50" s="248">
        <f xml:space="preserve"> C49 * 1.38095238095238</f>
        <v>4.1384011019953455</v>
      </c>
      <c r="D50" s="248">
        <f xml:space="preserve"> D49 * 1.38095238095238</f>
        <v>4.1384011019953455</v>
      </c>
      <c r="E50" t="s">
        <v>297</v>
      </c>
    </row>
    <row r="51" spans="1:6">
      <c r="A51" s="5" t="s">
        <v>155</v>
      </c>
      <c r="B51" s="245" t="e">
        <f xml:space="preserve"> (10.655 / (B37 * 2204.62262 / Engine!E44)^0.33) * (HullLength * 'Hull Design'!G3)^0.5 * 1.15077945 * IF(Engine!B40,1.5, 0.8) * 'Hull Design'!G6</f>
        <v>#DIV/0!</v>
      </c>
      <c r="C51" s="245" t="e">
        <f xml:space="preserve"> (10.655 / (C37 * 2204.62262 / Engine!E44)^0.33) * (HullLength * 'Hull Design'!G3)^0.5 * 1.15077945 * IF(Engine!B40,1.5, 0.8) * 'Hull Design'!G6</f>
        <v>#DIV/0!</v>
      </c>
      <c r="D51" s="245" t="e">
        <f xml:space="preserve"> (10.655 / (D37 * 2204.62262 / Engine!E44)^0.33) * (HullLength * 'Hull Design'!G3)^0.5 * 1.15077945 * IF(Engine!B40,1.5, 0.8) * 'Hull Design'!G6</f>
        <v>#DIV/0!</v>
      </c>
      <c r="E51" t="s">
        <v>848</v>
      </c>
    </row>
    <row r="52" spans="1:6">
      <c r="A52" s="5" t="s">
        <v>156</v>
      </c>
      <c r="B52" s="245" t="e">
        <f xml:space="preserve"> 'Hull Design'!G7 * Engine!D22 * 1000 * B51 / (Engine!G8 * Engine!F8)</f>
        <v>#DIV/0!</v>
      </c>
      <c r="C52" s="245" t="e">
        <f xml:space="preserve"> 'Hull Design'!G7 * Engine!D22 * 1000 * C51 / (Engine!G8 * Engine!F8)</f>
        <v>#DIV/0!</v>
      </c>
      <c r="D52" s="245" t="e">
        <f xml:space="preserve"> 'Hull Design'!G7 * Engine!D22 * 1000 * D51 / (Engine!G8 * Engine!F8)</f>
        <v>#DIV/0!</v>
      </c>
      <c r="E52" t="s">
        <v>851</v>
      </c>
    </row>
    <row r="54" spans="1:6" ht="15.75">
      <c r="A54" s="253" t="s">
        <v>157</v>
      </c>
    </row>
    <row r="55" spans="1:6">
      <c r="B55" s="248" t="s">
        <v>22</v>
      </c>
      <c r="C55" s="248" t="s">
        <v>21</v>
      </c>
      <c r="D55" s="248"/>
    </row>
    <row r="56" spans="1:6">
      <c r="A56" s="5" t="s">
        <v>158</v>
      </c>
      <c r="B56" s="248">
        <f xml:space="preserve"> 'Small Guns'!B6</f>
        <v>1</v>
      </c>
      <c r="C56" s="248">
        <f xml:space="preserve"> 'Small Guns'!C6</f>
        <v>1</v>
      </c>
      <c r="D56" s="248"/>
    </row>
    <row r="57" spans="1:6">
      <c r="A57" s="5" t="s">
        <v>159</v>
      </c>
      <c r="B57" s="248">
        <f xml:space="preserve"> 'Small Guns'!B5</f>
        <v>0</v>
      </c>
      <c r="C57" s="248">
        <f xml:space="preserve"> 'Small Guns'!C5</f>
        <v>1</v>
      </c>
      <c r="D57" s="248"/>
    </row>
    <row r="58" spans="1:6">
      <c r="B58" s="248"/>
      <c r="C58" s="248"/>
      <c r="D58" s="248"/>
    </row>
    <row r="59" spans="1:6">
      <c r="B59" s="248" t="s">
        <v>22</v>
      </c>
      <c r="C59" s="248" t="s">
        <v>21</v>
      </c>
      <c r="D59" s="248" t="s">
        <v>248</v>
      </c>
    </row>
    <row r="60" spans="1:6">
      <c r="A60" s="5" t="s">
        <v>160</v>
      </c>
      <c r="B60" s="248">
        <f xml:space="preserve"> 'Small Guns'!B12</f>
        <v>0</v>
      </c>
      <c r="C60" s="248">
        <f xml:space="preserve"> 'Small Guns'!C12</f>
        <v>0</v>
      </c>
      <c r="D60" s="248">
        <f xml:space="preserve"> SUM(B60:C60)</f>
        <v>0</v>
      </c>
      <c r="E60" s="245" t="s">
        <v>838</v>
      </c>
    </row>
    <row r="61" spans="1:6">
      <c r="A61" s="5" t="s">
        <v>161</v>
      </c>
      <c r="B61" s="248">
        <f xml:space="preserve"> 'Small Guns'!B18</f>
        <v>3125</v>
      </c>
      <c r="C61" s="248">
        <f xml:space="preserve"> 'Small Guns'!C18</f>
        <v>3125</v>
      </c>
      <c r="D61" s="248">
        <f xml:space="preserve"> SUM(B61:C61)</f>
        <v>6250</v>
      </c>
      <c r="E61" s="245" t="s">
        <v>837</v>
      </c>
    </row>
    <row r="62" spans="1:6">
      <c r="A62" s="5" t="s">
        <v>162</v>
      </c>
      <c r="B62" s="248">
        <f xml:space="preserve"> 'Small Guns'!B15</f>
        <v>0</v>
      </c>
      <c r="C62" s="248">
        <f xml:space="preserve"> 'Small Guns'!C15</f>
        <v>600</v>
      </c>
      <c r="D62" s="248">
        <f xml:space="preserve"> SUM(B62:C62)</f>
        <v>600</v>
      </c>
      <c r="E62" s="245" t="s">
        <v>837</v>
      </c>
    </row>
    <row r="64" spans="1:6">
      <c r="B64" s="245" t="s">
        <v>163</v>
      </c>
      <c r="C64" s="245" t="s">
        <v>164</v>
      </c>
      <c r="D64" s="245" t="s">
        <v>165</v>
      </c>
      <c r="E64" t="s">
        <v>166</v>
      </c>
      <c r="F64" t="s">
        <v>167</v>
      </c>
    </row>
    <row r="65" spans="1:9">
      <c r="A65" s="5" t="s">
        <v>168</v>
      </c>
      <c r="B65" s="248">
        <f xml:space="preserve"> 'Big Gun'!B3</f>
        <v>76</v>
      </c>
      <c r="C65" s="248">
        <f xml:space="preserve"> 'Big Gun'!B2</f>
        <v>0</v>
      </c>
      <c r="D65" s="248">
        <f xml:space="preserve"> 'Big Gun'!C2</f>
        <v>1</v>
      </c>
      <c r="E65" s="249">
        <f xml:space="preserve"> 'Big Gun'!B52</f>
        <v>0</v>
      </c>
      <c r="F65" s="249">
        <f xml:space="preserve"> 'Big Gun'!C52</f>
        <v>76</v>
      </c>
    </row>
    <row r="66" spans="1:9">
      <c r="A66" s="5" t="s">
        <v>169</v>
      </c>
      <c r="B66" s="248">
        <f xml:space="preserve"> 'Big Gun'!B76</f>
        <v>120</v>
      </c>
      <c r="C66" s="248">
        <f xml:space="preserve"> 'Big Gun'!B75</f>
        <v>0</v>
      </c>
      <c r="D66" s="248">
        <f xml:space="preserve"> 'Big Gun'!C75</f>
        <v>0</v>
      </c>
      <c r="E66" s="249">
        <f xml:space="preserve"> 'Big Gun'!B124</f>
        <v>0</v>
      </c>
      <c r="F66" s="130">
        <f xml:space="preserve"> 'Big Gun'!C124</f>
        <v>0</v>
      </c>
    </row>
    <row r="68" spans="1:9" ht="15.75">
      <c r="A68" s="253" t="s">
        <v>170</v>
      </c>
    </row>
    <row r="69" spans="1:9">
      <c r="B69" s="248" t="s">
        <v>171</v>
      </c>
      <c r="C69" s="248" t="s">
        <v>172</v>
      </c>
      <c r="D69" s="320" t="s">
        <v>173</v>
      </c>
      <c r="E69" s="320"/>
      <c r="F69" s="320"/>
      <c r="G69" s="320" t="s">
        <v>174</v>
      </c>
      <c r="H69" s="320"/>
      <c r="I69" s="320"/>
    </row>
    <row r="70" spans="1:9" ht="26.25" customHeight="1">
      <c r="A70" s="250" t="s">
        <v>180</v>
      </c>
      <c r="B70" s="251">
        <f xml:space="preserve"> 'Hull Design'!J51</f>
        <v>96.497592741966486</v>
      </c>
      <c r="C70" s="251">
        <f xml:space="preserve"> 'Hull Design'!K49</f>
        <v>85.396099771651762</v>
      </c>
      <c r="D70" s="322" t="str">
        <f t="shared" ref="D70:D75" si="1" xml:space="preserve"> LOOKUP( B70, KEPenetration, KEPenetrationName)</f>
        <v>Resistant to US 75mm M6 (M24 Chaffe) APCBC at 914m</v>
      </c>
      <c r="E70" s="322"/>
      <c r="F70" s="322"/>
      <c r="G70" s="322" t="str">
        <f t="shared" ref="G70:G75" si="2" xml:space="preserve"> LOOKUP( C70, HEATPenetration, HEATPenetrationName)</f>
        <v>Penetratable by Virtually Anything</v>
      </c>
      <c r="H70" s="322"/>
      <c r="I70" s="322"/>
    </row>
    <row r="71" spans="1:9" ht="26.25" customHeight="1">
      <c r="A71" s="250" t="s">
        <v>179</v>
      </c>
      <c r="B71" s="251">
        <f xml:space="preserve"> 'Hull Design'!J74</f>
        <v>93.783915486945148</v>
      </c>
      <c r="C71" s="251">
        <f xml:space="preserve"> 'Hull Design'!K72</f>
        <v>82.994615475172708</v>
      </c>
      <c r="D71" s="322" t="str">
        <f t="shared" si="1"/>
        <v>Resistant to US 75mm M6 (M24 Chaffe) APCBC at 914m</v>
      </c>
      <c r="E71" s="322"/>
      <c r="F71" s="322"/>
      <c r="G71" s="322" t="str">
        <f t="shared" si="2"/>
        <v>Penetratable by Virtually Anything</v>
      </c>
      <c r="H71" s="322"/>
      <c r="I71" s="322"/>
    </row>
    <row r="72" spans="1:9" ht="26.25" customHeight="1">
      <c r="A72" s="250" t="s">
        <v>175</v>
      </c>
      <c r="B72" s="251">
        <f xml:space="preserve"> 'Hull Design'!D153</f>
        <v>39.075400000000002</v>
      </c>
      <c r="C72" s="251">
        <f xml:space="preserve"> 'Hull Design'!E153</f>
        <v>34.58</v>
      </c>
      <c r="D72" s="322" t="str">
        <f t="shared" si="1"/>
        <v>Resistant to 20x110mm Hispano</v>
      </c>
      <c r="E72" s="322"/>
      <c r="F72" s="322"/>
      <c r="G72" s="322" t="str">
        <f t="shared" si="2"/>
        <v>Penetratable by Virtually Anything</v>
      </c>
      <c r="H72" s="322"/>
      <c r="I72" s="322"/>
    </row>
    <row r="73" spans="1:9" ht="26.25" customHeight="1">
      <c r="A73" s="250" t="s">
        <v>176</v>
      </c>
      <c r="B73" s="251">
        <f xml:space="preserve"> 'Hull Design'!C212</f>
        <v>39.379107514828782</v>
      </c>
      <c r="C73" s="251">
        <f xml:space="preserve"> 'Hull Design'!C213</f>
        <v>34.848767712237866</v>
      </c>
      <c r="D73" s="322" t="str">
        <f t="shared" si="1"/>
        <v>Resistant to 20x110mm Hispano</v>
      </c>
      <c r="E73" s="322"/>
      <c r="F73" s="322"/>
      <c r="G73" s="322" t="str">
        <f t="shared" si="2"/>
        <v>Penetratable by Virtually Anything</v>
      </c>
      <c r="H73" s="322"/>
      <c r="I73" s="322"/>
    </row>
    <row r="74" spans="1:9" ht="26.25" customHeight="1">
      <c r="A74" s="250" t="s">
        <v>177</v>
      </c>
      <c r="B74" s="251">
        <f xml:space="preserve"> 'Hull Design'!J238</f>
        <v>25.707499999999996</v>
      </c>
      <c r="C74" s="251">
        <f xml:space="preserve"> 'Hull Design'!K236</f>
        <v>22.75</v>
      </c>
      <c r="D74" s="322" t="str">
        <f t="shared" si="1"/>
        <v>Resistant to 12.7</v>
      </c>
      <c r="E74" s="322"/>
      <c r="F74" s="322"/>
      <c r="G74" s="322" t="str">
        <f t="shared" si="2"/>
        <v>Penetratable by Virtually Anything</v>
      </c>
      <c r="H74" s="322"/>
      <c r="I74" s="322"/>
    </row>
    <row r="75" spans="1:9" ht="26.25" customHeight="1">
      <c r="A75" s="250" t="s">
        <v>178</v>
      </c>
      <c r="B75" s="251">
        <f xml:space="preserve"> 'Hull Design'!J261</f>
        <v>13.367899999999999</v>
      </c>
      <c r="C75" s="251">
        <f xml:space="preserve"> 'Hull Design'!K259</f>
        <v>11.83</v>
      </c>
      <c r="D75" s="322" t="str">
        <f t="shared" si="1"/>
        <v>Resistant to 5.56</v>
      </c>
      <c r="E75" s="322"/>
      <c r="F75" s="322"/>
      <c r="G75" s="322" t="str">
        <f t="shared" si="2"/>
        <v>Penetratable by Virtually Anything</v>
      </c>
      <c r="H75" s="322"/>
      <c r="I75" s="322"/>
    </row>
    <row r="76" spans="1:9">
      <c r="A76" s="250"/>
      <c r="B76" s="251"/>
      <c r="C76" s="251"/>
      <c r="D76" s="251"/>
      <c r="E76" s="252"/>
      <c r="F76" s="252"/>
      <c r="G76" s="130"/>
    </row>
    <row r="77" spans="1:9" ht="26.25" customHeight="1">
      <c r="A77" s="250" t="s">
        <v>859</v>
      </c>
      <c r="B77" s="251">
        <f xml:space="preserve"> ('Turret Design'!H30 + 'Turret Design'!J30 ) / 2</f>
        <v>110.47284337537728</v>
      </c>
      <c r="C77" s="251">
        <f xml:space="preserve"> 'Turret Design'!I30</f>
        <v>80.990000000000009</v>
      </c>
      <c r="D77" s="322" t="str">
        <f xml:space="preserve"> LOOKUP( B77, KEPenetration, KEPenetrationName)</f>
        <v>Resistant to US 76mm M1A2 (Sherman) APCBC at 914m</v>
      </c>
      <c r="E77" s="322"/>
      <c r="F77" s="322"/>
      <c r="G77" s="322" t="str">
        <f xml:space="preserve"> LOOKUP( C77, HEATPenetration, HEATPenetrationName)</f>
        <v>Penetratable by Virtually Anything</v>
      </c>
      <c r="H77" s="322"/>
      <c r="I77" s="322"/>
    </row>
    <row r="78" spans="1:9" ht="26.25" customHeight="1">
      <c r="A78" s="250" t="s">
        <v>181</v>
      </c>
      <c r="B78" s="251">
        <f xml:space="preserve"> 'Turret Design'!J54</f>
        <v>93.07109159604822</v>
      </c>
      <c r="C78" s="251">
        <f xml:space="preserve"> 'Turret Design'!K52</f>
        <v>82.363797872609055</v>
      </c>
      <c r="D78" s="322" t="str">
        <f xml:space="preserve"> LOOKUP( B78, KEPenetration, KEPenetrationName)</f>
        <v>Resistant to US 75mm M6 (M24 Chaffe) APCBC at 914m</v>
      </c>
      <c r="E78" s="322"/>
      <c r="F78" s="322"/>
      <c r="G78" s="322" t="str">
        <f xml:space="preserve"> LOOKUP( C78, HEATPenetration, HEATPenetrationName)</f>
        <v>Penetratable by Virtually Anything</v>
      </c>
      <c r="H78" s="322"/>
      <c r="I78" s="322"/>
    </row>
    <row r="79" spans="1:9" ht="26.25" customHeight="1">
      <c r="A79" s="250" t="s">
        <v>182</v>
      </c>
      <c r="B79" s="251">
        <f xml:space="preserve"> 'Turret Design'!J83</f>
        <v>67.542304898812446</v>
      </c>
      <c r="C79" s="251">
        <f xml:space="preserve"> 'Turret Design'!K81</f>
        <v>59.77195123788713</v>
      </c>
      <c r="D79" s="322" t="str">
        <f xml:space="preserve"> LOOKUP( B79, KEPenetration, KEPenetrationName)</f>
        <v>Resistant to 40mm L70 M56 AP</v>
      </c>
      <c r="E79" s="322"/>
      <c r="F79" s="322"/>
      <c r="G79" s="322" t="str">
        <f xml:space="preserve"> LOOKUP( C79, HEATPenetration, HEATPenetrationName)</f>
        <v>Penetratable by Virtually Anything</v>
      </c>
      <c r="H79" s="322"/>
      <c r="I79" s="322"/>
    </row>
    <row r="80" spans="1:9" ht="26.25" customHeight="1">
      <c r="A80" s="250" t="s">
        <v>183</v>
      </c>
      <c r="B80" s="251">
        <f xml:space="preserve"> 'Turret Design'!J108 +  (Lookup!C159 * 10 * ('Big Gun'!B35 * 1000^2) / (Lookup!B159 * 'Turret Design'!C93))</f>
        <v>65.811199999999999</v>
      </c>
      <c r="C80" s="251">
        <f xml:space="preserve"> 'Turret Design'!K106 + (Lookup!D159 * 10 * ('Big Gun'!B35 * 1000^2) / (Lookup!B159 * 'Turret Design'!C93))</f>
        <v>58.24</v>
      </c>
      <c r="D80" s="322" t="str">
        <f xml:space="preserve"> LOOKUP( B80, KEPenetration, KEPenetrationName)</f>
        <v>Resistant to Soviet 30x210mm M53</v>
      </c>
      <c r="E80" s="322"/>
      <c r="F80" s="322"/>
      <c r="G80" s="322" t="str">
        <f xml:space="preserve"> LOOKUP( C80, HEATPenetration, HEATPenetrationName)</f>
        <v>Penetratable by Virtually Anything</v>
      </c>
      <c r="H80" s="322"/>
      <c r="I80" s="322"/>
    </row>
    <row r="81" spans="1:9" ht="26.25" customHeight="1">
      <c r="A81" s="250" t="s">
        <v>184</v>
      </c>
      <c r="B81" s="251">
        <f xml:space="preserve"> ('Turret Design'!J136 + 'Turret Design'!J150) / 2</f>
        <v>25.707499999999996</v>
      </c>
      <c r="C81" s="251">
        <f xml:space="preserve"> ('Turret Design'!K134 + 'Turret Design'!K148) / 2</f>
        <v>22.75</v>
      </c>
      <c r="D81" s="322" t="str">
        <f xml:space="preserve"> LOOKUP( B81, KEPenetration, KEPenetrationName)</f>
        <v>Resistant to 12.7</v>
      </c>
      <c r="E81" s="322"/>
      <c r="F81" s="322"/>
      <c r="G81" s="322" t="str">
        <f xml:space="preserve"> LOOKUP( C81, HEATPenetration, HEATPenetrationName)</f>
        <v>Penetratable by Virtually Anything</v>
      </c>
      <c r="H81" s="322"/>
      <c r="I81" s="322"/>
    </row>
    <row r="82" spans="1:9">
      <c r="B82" s="248"/>
      <c r="C82" s="248"/>
      <c r="D82" s="248"/>
      <c r="E82" s="130"/>
      <c r="F82" s="130"/>
      <c r="G82" s="130"/>
    </row>
    <row r="83" spans="1:9">
      <c r="A83" s="129" t="s">
        <v>185</v>
      </c>
      <c r="B83" s="248"/>
      <c r="C83" s="248"/>
      <c r="D83" s="248"/>
      <c r="E83" s="130"/>
      <c r="F83" s="130"/>
      <c r="G83" s="130"/>
    </row>
    <row r="84" spans="1:9">
      <c r="B84" s="248" t="s">
        <v>171</v>
      </c>
      <c r="C84" s="248" t="s">
        <v>172</v>
      </c>
      <c r="D84" s="320" t="s">
        <v>173</v>
      </c>
      <c r="E84" s="320"/>
      <c r="F84" s="320"/>
      <c r="G84" s="130" t="s">
        <v>174</v>
      </c>
    </row>
    <row r="85" spans="1:9" ht="26.25" customHeight="1">
      <c r="A85" s="250" t="s">
        <v>180</v>
      </c>
      <c r="B85" s="251">
        <f xml:space="preserve"> 'Hull Design'!J51</f>
        <v>96.497592741966486</v>
      </c>
      <c r="C85" s="251">
        <f xml:space="preserve"> 'Hull Design'!K49</f>
        <v>85.396099771651762</v>
      </c>
      <c r="D85" s="322" t="str">
        <f xml:space="preserve"> LOOKUP( B85, KEPenetration, KEPenetrationName)</f>
        <v>Resistant to US 75mm M6 (M24 Chaffe) APCBC at 914m</v>
      </c>
      <c r="E85" s="322"/>
      <c r="F85" s="322"/>
      <c r="G85" s="322" t="str">
        <f xml:space="preserve"> LOOKUP( C85, HEATPenetration, HEATPenetrationName)</f>
        <v>Penetratable by Virtually Anything</v>
      </c>
      <c r="H85" s="322"/>
      <c r="I85" s="322"/>
    </row>
    <row r="86" spans="1:9" ht="26.25" customHeight="1">
      <c r="A86" s="250" t="s">
        <v>179</v>
      </c>
      <c r="B86" s="251">
        <f xml:space="preserve"> 'Hull Design'!J74</f>
        <v>93.783915486945148</v>
      </c>
      <c r="C86" s="251">
        <f xml:space="preserve"> 'Hull Design'!K72</f>
        <v>82.994615475172708</v>
      </c>
      <c r="D86" s="322" t="str">
        <f xml:space="preserve"> LOOKUP( B86, KEPenetration, KEPenetrationName)</f>
        <v>Resistant to US 75mm M6 (M24 Chaffe) APCBC at 914m</v>
      </c>
      <c r="E86" s="322"/>
      <c r="F86" s="322"/>
      <c r="G86" s="322" t="str">
        <f xml:space="preserve"> LOOKUP( C86, HEATPenetration, HEATPenetrationName)</f>
        <v>Penetratable by Virtually Anything</v>
      </c>
      <c r="H86" s="322"/>
      <c r="I86" s="322"/>
    </row>
    <row r="87" spans="1:9">
      <c r="A87" s="250"/>
      <c r="B87" s="251"/>
      <c r="C87" s="251"/>
    </row>
    <row r="88" spans="1:9" ht="26.25" customHeight="1">
      <c r="A88" s="250" t="s">
        <v>859</v>
      </c>
      <c r="B88" s="251">
        <f xml:space="preserve"> ('Turret Design'!H30 + 'Turret Design'!J30 ) / 2</f>
        <v>110.47284337537728</v>
      </c>
      <c r="C88" s="251">
        <f xml:space="preserve"> 'Turret Design'!I30</f>
        <v>80.990000000000009</v>
      </c>
      <c r="D88" s="322" t="str">
        <f xml:space="preserve"> LOOKUP( B88, KEPenetration, KEPenetrationName)</f>
        <v>Resistant to US 76mm M1A2 (Sherman) APCBC at 914m</v>
      </c>
      <c r="E88" s="322"/>
      <c r="F88" s="322"/>
      <c r="G88" s="322" t="str">
        <f xml:space="preserve"> LOOKUP( C88, HEATPenetration, HEATPenetrationName)</f>
        <v>Penetratable by Virtually Anything</v>
      </c>
      <c r="H88" s="322"/>
      <c r="I88" s="322"/>
    </row>
    <row r="89" spans="1:9" ht="26.25" customHeight="1">
      <c r="A89" s="250" t="s">
        <v>181</v>
      </c>
      <c r="B89" s="251">
        <f xml:space="preserve"> 'Turret Design'!J54</f>
        <v>93.07109159604822</v>
      </c>
      <c r="C89" s="251">
        <f xml:space="preserve"> 'Turret Design'!K52</f>
        <v>82.363797872609055</v>
      </c>
      <c r="D89" s="322" t="str">
        <f xml:space="preserve"> LOOKUP( B89, KEPenetration, KEPenetrationName)</f>
        <v>Resistant to US 75mm M6 (M24 Chaffe) APCBC at 914m</v>
      </c>
      <c r="E89" s="322"/>
      <c r="F89" s="322"/>
      <c r="G89" s="322" t="str">
        <f xml:space="preserve"> LOOKUP( C89, HEATPenetration, HEATPenetrationName)</f>
        <v>Penetratable by Virtually Anything</v>
      </c>
      <c r="H89" s="322"/>
      <c r="I89" s="322"/>
    </row>
    <row r="90" spans="1:9" ht="26.25" customHeight="1">
      <c r="A90" s="250" t="s">
        <v>182</v>
      </c>
      <c r="B90" s="251">
        <f xml:space="preserve"> 'Turret Design'!N82</f>
        <v>67.542304898812446</v>
      </c>
      <c r="C90" s="251">
        <f xml:space="preserve"> 'Turret Design'!O81</f>
        <v>59.77195123788713</v>
      </c>
      <c r="D90" s="322" t="str">
        <f xml:space="preserve"> LOOKUP( B90, KEPenetration, KEPenetrationName)</f>
        <v>Resistant to 40mm L70 M56 AP</v>
      </c>
      <c r="E90" s="322"/>
      <c r="F90" s="322"/>
      <c r="G90" s="322" t="str">
        <f xml:space="preserve"> LOOKUP( C90, HEATPenetration, HEATPenetrationName)</f>
        <v>Penetratable by Virtually Anything</v>
      </c>
      <c r="H90" s="322"/>
      <c r="I90" s="322"/>
    </row>
    <row r="91" spans="1:9" ht="26.25" customHeight="1">
      <c r="A91" s="250" t="s">
        <v>184</v>
      </c>
      <c r="B91" s="251">
        <f xml:space="preserve"> 'Turret Design'!O135</f>
        <v>0</v>
      </c>
      <c r="C91" s="251">
        <f xml:space="preserve"> 'Turret Design'!Q134</f>
        <v>0</v>
      </c>
      <c r="D91" s="322" t="str">
        <f xml:space="preserve"> LOOKUP( B91, KEPenetration, KEPenetrationName)</f>
        <v>Penetratable by Virtually Anything</v>
      </c>
      <c r="E91" s="322"/>
      <c r="F91" s="322"/>
      <c r="G91" s="322" t="str">
        <f xml:space="preserve"> LOOKUP( C91, HEATPenetration, HEATPenetrationName)</f>
        <v>Penetratable by Virtually Anything</v>
      </c>
      <c r="H91" s="322"/>
      <c r="I91" s="322"/>
    </row>
    <row r="92" spans="1:9" ht="26.25" customHeight="1"/>
  </sheetData>
  <mergeCells count="37">
    <mergeCell ref="D69:F69"/>
    <mergeCell ref="D70:F70"/>
    <mergeCell ref="D71:F71"/>
    <mergeCell ref="D72:F72"/>
    <mergeCell ref="D73:F73"/>
    <mergeCell ref="G74:I74"/>
    <mergeCell ref="D75:F75"/>
    <mergeCell ref="D78:F78"/>
    <mergeCell ref="D79:F79"/>
    <mergeCell ref="D80:F80"/>
    <mergeCell ref="G77:I77"/>
    <mergeCell ref="G75:I75"/>
    <mergeCell ref="G78:I78"/>
    <mergeCell ref="G79:I79"/>
    <mergeCell ref="G80:I80"/>
    <mergeCell ref="D74:F74"/>
    <mergeCell ref="D77:F77"/>
    <mergeCell ref="G70:I70"/>
    <mergeCell ref="G71:I71"/>
    <mergeCell ref="G69:I69"/>
    <mergeCell ref="G72:I72"/>
    <mergeCell ref="G73:I73"/>
    <mergeCell ref="G81:I81"/>
    <mergeCell ref="D86:F86"/>
    <mergeCell ref="D89:F89"/>
    <mergeCell ref="D90:F90"/>
    <mergeCell ref="D91:F91"/>
    <mergeCell ref="G85:I85"/>
    <mergeCell ref="G86:I86"/>
    <mergeCell ref="G89:I89"/>
    <mergeCell ref="G90:I90"/>
    <mergeCell ref="G91:I91"/>
    <mergeCell ref="D85:F85"/>
    <mergeCell ref="D88:F88"/>
    <mergeCell ref="G88:I88"/>
    <mergeCell ref="D81:F81"/>
    <mergeCell ref="D84:F8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S292"/>
  <sheetViews>
    <sheetView zoomScaleNormal="100" workbookViewId="0">
      <selection activeCell="D14" sqref="D14"/>
    </sheetView>
  </sheetViews>
  <sheetFormatPr defaultRowHeight="15"/>
  <cols>
    <col min="1" max="1" width="2.85546875" customWidth="1"/>
    <col min="2" max="2" width="37.140625" customWidth="1"/>
    <col min="3" max="3" width="15" customWidth="1"/>
    <col min="4" max="4" width="8.5703125" customWidth="1"/>
    <col min="5" max="5" width="15" customWidth="1"/>
    <col min="6" max="6" width="14.28515625" customWidth="1"/>
    <col min="7" max="7" width="15.7109375" customWidth="1"/>
    <col min="8" max="8" width="9.28515625" customWidth="1"/>
    <col min="9" max="9" width="10.7109375" customWidth="1"/>
    <col min="10" max="10" width="13.5703125" customWidth="1"/>
    <col min="11" max="11" width="15.7109375" customWidth="1"/>
    <col min="12" max="12" width="16.28515625" customWidth="1"/>
    <col min="13" max="13" width="3.5703125" customWidth="1"/>
    <col min="14" max="14" width="4.28515625" customWidth="1"/>
    <col min="15" max="15" width="14.28515625" customWidth="1"/>
    <col min="17" max="17" width="4.28515625" customWidth="1"/>
    <col min="18" max="18" width="14.28515625" customWidth="1"/>
  </cols>
  <sheetData>
    <row r="2" spans="2:11">
      <c r="B2" s="78" t="s">
        <v>186</v>
      </c>
      <c r="C2" s="275">
        <v>6.3</v>
      </c>
      <c r="D2" t="s">
        <v>297</v>
      </c>
      <c r="G2">
        <v>0.393700787</v>
      </c>
      <c r="H2" t="s">
        <v>302</v>
      </c>
      <c r="I2" s="323" t="s">
        <v>206</v>
      </c>
      <c r="J2" s="323"/>
      <c r="K2">
        <f>(C2+C11)*0.25 * C8 * (C3+C15)</f>
        <v>7.945913016486795</v>
      </c>
    </row>
    <row r="3" spans="2:11">
      <c r="B3" s="78" t="s">
        <v>187</v>
      </c>
      <c r="C3" s="275">
        <v>1.4</v>
      </c>
      <c r="D3" t="s">
        <v>297</v>
      </c>
      <c r="G3">
        <v>3.2808399000000001</v>
      </c>
      <c r="H3" t="s">
        <v>304</v>
      </c>
      <c r="I3" s="323" t="s">
        <v>207</v>
      </c>
      <c r="J3" s="323"/>
      <c r="K3">
        <f>(C2+C18) *0.25 * C9 * (C3+C22)</f>
        <v>7.7822073220410806</v>
      </c>
    </row>
    <row r="4" spans="2:11">
      <c r="B4" s="78" t="s">
        <v>188</v>
      </c>
      <c r="C4" s="275">
        <v>2</v>
      </c>
      <c r="D4" t="s">
        <v>297</v>
      </c>
      <c r="G4" s="256">
        <v>1.1023113099999999</v>
      </c>
      <c r="H4" t="s">
        <v>841</v>
      </c>
    </row>
    <row r="5" spans="2:11">
      <c r="B5" s="78" t="s">
        <v>189</v>
      </c>
      <c r="C5" s="275">
        <v>0.43</v>
      </c>
      <c r="D5" t="s">
        <v>297</v>
      </c>
      <c r="G5" s="256">
        <v>3.78541178</v>
      </c>
      <c r="H5" t="s">
        <v>845</v>
      </c>
      <c r="J5" t="s">
        <v>205</v>
      </c>
      <c r="K5">
        <f>K2 + K3</f>
        <v>15.728120338527876</v>
      </c>
    </row>
    <row r="6" spans="2:11">
      <c r="B6" s="78" t="s">
        <v>190</v>
      </c>
      <c r="C6" s="276">
        <v>0.5</v>
      </c>
      <c r="D6" t="s">
        <v>191</v>
      </c>
      <c r="G6">
        <f xml:space="preserve"> G7</f>
        <v>1.6093440000000001</v>
      </c>
      <c r="H6" t="s">
        <v>847</v>
      </c>
    </row>
    <row r="7" spans="2:11">
      <c r="B7" s="10" t="s">
        <v>192</v>
      </c>
      <c r="C7" s="11">
        <f>C4*C6</f>
        <v>1</v>
      </c>
      <c r="D7" t="s">
        <v>297</v>
      </c>
      <c r="G7">
        <v>1.6093440000000001</v>
      </c>
      <c r="H7" t="s">
        <v>850</v>
      </c>
    </row>
    <row r="8" spans="2:11">
      <c r="B8" s="10" t="s">
        <v>193</v>
      </c>
      <c r="C8" s="11">
        <f>C4 * (1-C6)</f>
        <v>1</v>
      </c>
      <c r="D8" t="s">
        <v>297</v>
      </c>
      <c r="G8">
        <v>6.8947572929999996</v>
      </c>
      <c r="H8" t="s">
        <v>852</v>
      </c>
    </row>
    <row r="9" spans="2:11">
      <c r="B9" s="10" t="s">
        <v>194</v>
      </c>
      <c r="C9" s="11">
        <f xml:space="preserve"> C4 * C6</f>
        <v>1</v>
      </c>
      <c r="D9" t="s">
        <v>297</v>
      </c>
      <c r="G9">
        <v>2.2046226199999999</v>
      </c>
      <c r="H9" t="s">
        <v>855</v>
      </c>
    </row>
    <row r="10" spans="2:11">
      <c r="B10" s="9"/>
      <c r="C10" s="8"/>
      <c r="G10">
        <v>0.746</v>
      </c>
      <c r="H10" t="s">
        <v>986</v>
      </c>
    </row>
    <row r="11" spans="2:11">
      <c r="B11" s="12" t="s">
        <v>195</v>
      </c>
      <c r="C11" s="11">
        <f>C2-C12-C13</f>
        <v>5.0513043092668521</v>
      </c>
      <c r="D11" t="s">
        <v>297</v>
      </c>
      <c r="G11">
        <v>0.90818449999999995</v>
      </c>
      <c r="H11" t="s">
        <v>1022</v>
      </c>
    </row>
    <row r="12" spans="2:11">
      <c r="B12" s="12" t="s">
        <v>196</v>
      </c>
      <c r="C12" s="11">
        <f>S27</f>
        <v>1.0723687100246824</v>
      </c>
      <c r="D12" t="s">
        <v>297</v>
      </c>
    </row>
    <row r="13" spans="2:11">
      <c r="B13" s="12" t="s">
        <v>197</v>
      </c>
      <c r="C13" s="11">
        <f>S159</f>
        <v>0.17632698070846506</v>
      </c>
      <c r="D13" t="s">
        <v>297</v>
      </c>
    </row>
    <row r="14" spans="2:11">
      <c r="B14" s="12"/>
      <c r="C14" s="8"/>
    </row>
    <row r="15" spans="2:11">
      <c r="B15" s="12" t="s">
        <v>198</v>
      </c>
      <c r="C15" s="11">
        <f>C3 - 2 * S91</f>
        <v>1.4</v>
      </c>
      <c r="D15" t="s">
        <v>297</v>
      </c>
    </row>
    <row r="16" spans="2:11">
      <c r="B16" s="13"/>
      <c r="C16" s="13"/>
    </row>
    <row r="17" spans="2:19">
      <c r="B17" s="8"/>
      <c r="C17" s="8"/>
    </row>
    <row r="18" spans="2:19">
      <c r="B18" s="12" t="s">
        <v>199</v>
      </c>
      <c r="C18" s="11">
        <f>C2-C19-C20</f>
        <v>4.8174390314872593</v>
      </c>
      <c r="D18" t="s">
        <v>297</v>
      </c>
    </row>
    <row r="19" spans="2:19">
      <c r="B19" s="12" t="s">
        <v>200</v>
      </c>
      <c r="C19" s="11">
        <f>S54</f>
        <v>1.4825609685127401</v>
      </c>
      <c r="D19" t="s">
        <v>297</v>
      </c>
    </row>
    <row r="20" spans="2:19">
      <c r="B20" s="12" t="s">
        <v>201</v>
      </c>
      <c r="C20" s="11">
        <f xml:space="preserve"> S182</f>
        <v>0</v>
      </c>
      <c r="D20" t="s">
        <v>297</v>
      </c>
    </row>
    <row r="21" spans="2:19">
      <c r="B21" s="12"/>
      <c r="C21" s="8"/>
    </row>
    <row r="22" spans="2:19">
      <c r="B22" s="12" t="s">
        <v>202</v>
      </c>
      <c r="C22" s="11">
        <f xml:space="preserve"> C3 - 2 * S113</f>
        <v>1.4</v>
      </c>
      <c r="D22" t="s">
        <v>297</v>
      </c>
    </row>
    <row r="24" spans="2:19">
      <c r="B24" t="s">
        <v>203</v>
      </c>
    </row>
    <row r="25" spans="2:19">
      <c r="B25" t="s">
        <v>204</v>
      </c>
    </row>
    <row r="27" spans="2:19" ht="15.75">
      <c r="B27" s="24" t="s">
        <v>208</v>
      </c>
      <c r="C27" s="16"/>
      <c r="D27" s="16"/>
      <c r="E27" s="14"/>
      <c r="F27" s="14"/>
      <c r="G27" s="14"/>
      <c r="H27" s="14"/>
      <c r="I27" s="14"/>
      <c r="J27" s="310" t="s">
        <v>1042</v>
      </c>
      <c r="K27" s="313">
        <f xml:space="preserve"> (C32^2 + 4*C29^2) / (8 * C29)</f>
        <v>2.4999999999999996</v>
      </c>
      <c r="L27" t="s">
        <v>297</v>
      </c>
      <c r="O27" s="2" t="s">
        <v>293</v>
      </c>
      <c r="R27" t="s">
        <v>300</v>
      </c>
      <c r="S27">
        <f>IF(C30 = 0, 0, P30/P34)</f>
        <v>1.0723687100246824</v>
      </c>
    </row>
    <row r="28" spans="2:19">
      <c r="B28" s="230" t="s">
        <v>1038</v>
      </c>
      <c r="C28" s="308" t="s">
        <v>1050</v>
      </c>
      <c r="D28" s="183"/>
      <c r="E28" s="224"/>
      <c r="F28" s="224"/>
      <c r="G28" s="224"/>
      <c r="H28" s="224"/>
      <c r="I28" s="224"/>
      <c r="J28" s="228" t="s">
        <v>1043</v>
      </c>
      <c r="K28" s="313">
        <f xml:space="preserve"> 2 * ATAN(C32 * 0.5 / (K30 - C29))</f>
        <v>0.56758821841665585</v>
      </c>
      <c r="L28" t="s">
        <v>1041</v>
      </c>
      <c r="O28" s="307"/>
    </row>
    <row r="29" spans="2:19">
      <c r="B29" s="230" t="s">
        <v>1039</v>
      </c>
      <c r="C29" s="309">
        <v>0.1</v>
      </c>
      <c r="D29" s="226" t="s">
        <v>297</v>
      </c>
      <c r="E29" s="22" t="s">
        <v>1040</v>
      </c>
      <c r="F29" s="224"/>
      <c r="G29" s="224"/>
      <c r="H29" s="224"/>
      <c r="I29" s="224"/>
      <c r="J29" s="138" t="s">
        <v>1044</v>
      </c>
      <c r="K29" s="313">
        <f xml:space="preserve"> K27 * K28</f>
        <v>1.4189705460416393</v>
      </c>
      <c r="L29" t="s">
        <v>297</v>
      </c>
      <c r="O29" s="307"/>
    </row>
    <row r="30" spans="2:19">
      <c r="B30" s="26" t="s">
        <v>209</v>
      </c>
      <c r="C30" s="57">
        <v>47</v>
      </c>
      <c r="D30" s="27" t="s">
        <v>210</v>
      </c>
      <c r="E30" s="14">
        <f>COS(RADIANS(C30))</f>
        <v>0.68199836006249848</v>
      </c>
      <c r="F30" s="14" t="s">
        <v>535</v>
      </c>
      <c r="G30" s="14"/>
      <c r="H30" s="14"/>
      <c r="I30" s="14"/>
      <c r="J30" s="228" t="s">
        <v>1046</v>
      </c>
      <c r="K30" s="313">
        <f xml:space="preserve"> (C33^2 + 4*C29^2) / (8 * C29)</f>
        <v>2.4999999999999996</v>
      </c>
      <c r="L30" t="s">
        <v>297</v>
      </c>
      <c r="O30" s="2" t="s">
        <v>294</v>
      </c>
      <c r="P30">
        <f>C8</f>
        <v>1</v>
      </c>
      <c r="Q30" t="s">
        <v>297</v>
      </c>
      <c r="R30" t="s">
        <v>301</v>
      </c>
      <c r="S30">
        <f>IF( C30 = 0, P30, P30/P33)</f>
        <v>1.4662791856396249</v>
      </c>
    </row>
    <row r="31" spans="2:19">
      <c r="B31" s="28" t="s">
        <v>211</v>
      </c>
      <c r="C31" s="29">
        <f>S30</f>
        <v>1.4662791856396249</v>
      </c>
      <c r="D31" s="14" t="s">
        <v>297</v>
      </c>
      <c r="E31" s="21">
        <f>C31*100</f>
        <v>146.62791856396248</v>
      </c>
      <c r="F31" s="14" t="s">
        <v>212</v>
      </c>
      <c r="G31" s="14">
        <f>E31*G2</f>
        <v>57.72752693480394</v>
      </c>
      <c r="H31" s="14" t="s">
        <v>303</v>
      </c>
      <c r="I31" s="14"/>
      <c r="J31" s="228" t="s">
        <v>1047</v>
      </c>
      <c r="K31" s="313">
        <f xml:space="preserve"> 2 * ATAN(C33 * 0.5 / (K30 - C29))</f>
        <v>0.56758821841665585</v>
      </c>
      <c r="L31" t="s">
        <v>1041</v>
      </c>
      <c r="O31" s="2" t="s">
        <v>295</v>
      </c>
      <c r="P31">
        <f>IF(C30 = 0, 0, RADIANS(90-C30))</f>
        <v>0.75049157835756175</v>
      </c>
      <c r="Q31" t="s">
        <v>296</v>
      </c>
    </row>
    <row r="32" spans="2:19">
      <c r="B32" s="28" t="s">
        <v>213</v>
      </c>
      <c r="C32" s="21">
        <f>C15</f>
        <v>1.4</v>
      </c>
      <c r="D32" s="14" t="s">
        <v>297</v>
      </c>
      <c r="E32" s="21">
        <f>C32*100</f>
        <v>140</v>
      </c>
      <c r="F32" s="14" t="s">
        <v>212</v>
      </c>
      <c r="G32" s="14">
        <f>E32*G2</f>
        <v>55.118110180000002</v>
      </c>
      <c r="H32" s="14" t="s">
        <v>303</v>
      </c>
      <c r="I32" s="14"/>
      <c r="J32" s="138" t="s">
        <v>1045</v>
      </c>
      <c r="K32" s="313">
        <f xml:space="preserve"> K31 * K30</f>
        <v>1.4189705460416393</v>
      </c>
      <c r="L32" t="s">
        <v>297</v>
      </c>
      <c r="O32" s="2"/>
    </row>
    <row r="33" spans="2:16">
      <c r="B33" s="28" t="s">
        <v>214</v>
      </c>
      <c r="C33" s="21">
        <f>C3</f>
        <v>1.4</v>
      </c>
      <c r="D33" s="14" t="s">
        <v>297</v>
      </c>
      <c r="E33" s="21">
        <f>C33*100</f>
        <v>140</v>
      </c>
      <c r="F33" s="14" t="s">
        <v>212</v>
      </c>
      <c r="G33" s="14">
        <f>E33*G2</f>
        <v>55.118110180000002</v>
      </c>
      <c r="H33" s="14" t="s">
        <v>303</v>
      </c>
      <c r="I33" s="14"/>
      <c r="J33" s="311" t="s">
        <v>1048</v>
      </c>
      <c r="K33" s="312">
        <f xml:space="preserve"> (K29 + K32) * C31 / 2 * 100^2</f>
        <v>20806.069766965491</v>
      </c>
      <c r="L33" t="s">
        <v>216</v>
      </c>
      <c r="O33" s="2" t="s">
        <v>298</v>
      </c>
      <c r="P33">
        <f>SIN(P31)</f>
        <v>0.68199836006249848</v>
      </c>
    </row>
    <row r="34" spans="2:16">
      <c r="B34" s="28" t="s">
        <v>215</v>
      </c>
      <c r="C34" s="30">
        <f xml:space="preserve"> IF(C28 = "Flat", (E32+E33)*0.5 * E31, IF(C28 = "Curved", K33, 0))</f>
        <v>20527.908598954746</v>
      </c>
      <c r="D34" s="14" t="s">
        <v>216</v>
      </c>
      <c r="E34" s="14"/>
      <c r="F34" s="14"/>
      <c r="G34" s="14">
        <f>C34*G2^2</f>
        <v>3181.8321900114406</v>
      </c>
      <c r="H34" s="14" t="s">
        <v>538</v>
      </c>
      <c r="I34" s="14"/>
      <c r="J34" s="228" t="s">
        <v>205</v>
      </c>
      <c r="K34" s="313">
        <f xml:space="preserve"> (K33 / 100^2) * (C49 / 1000)</f>
        <v>0.13315884650857912</v>
      </c>
      <c r="L34" t="s">
        <v>255</v>
      </c>
      <c r="O34" s="2" t="s">
        <v>299</v>
      </c>
      <c r="P34">
        <f>TAN(P31)</f>
        <v>0.93251508613766176</v>
      </c>
    </row>
    <row r="35" spans="2:16">
      <c r="B35" s="28" t="s">
        <v>217</v>
      </c>
      <c r="C35" s="21">
        <f>IF(C28 = "Flat", (C34/ 100^2) * (C49 / 1000), IF(C28 = "Curved", K34, 0))</f>
        <v>0.13137861503331039</v>
      </c>
      <c r="D35" s="14" t="s">
        <v>255</v>
      </c>
      <c r="E35" s="14"/>
      <c r="F35" s="14"/>
      <c r="G35" s="14">
        <f>C35 * G3^3</f>
        <v>4.6395920253886471</v>
      </c>
      <c r="H35" s="14" t="s">
        <v>539</v>
      </c>
      <c r="I35" s="14"/>
      <c r="J35" s="228" t="s">
        <v>1049</v>
      </c>
      <c r="K35" s="314" t="s">
        <v>1051</v>
      </c>
      <c r="L35" s="2" t="s">
        <v>255</v>
      </c>
    </row>
    <row r="36" spans="2:16">
      <c r="B36" s="28"/>
      <c r="C36" s="14"/>
      <c r="D36" s="14"/>
      <c r="E36" s="14"/>
      <c r="F36" s="14"/>
      <c r="G36" s="14"/>
      <c r="H36" s="14"/>
      <c r="I36" s="14"/>
      <c r="J36" s="23"/>
    </row>
    <row r="37" spans="2:16">
      <c r="B37" s="14"/>
      <c r="C37" s="14"/>
      <c r="D37" s="14"/>
      <c r="E37" s="14"/>
      <c r="F37" s="14"/>
      <c r="G37" s="14"/>
      <c r="H37" s="14"/>
      <c r="I37" s="14"/>
      <c r="J37" s="14"/>
    </row>
    <row r="38" spans="2:16">
      <c r="B38" s="224"/>
      <c r="C38" s="224"/>
      <c r="D38" s="224"/>
      <c r="E38" s="224"/>
      <c r="F38" s="224"/>
      <c r="G38" s="224"/>
      <c r="H38" s="224"/>
      <c r="I38" s="224"/>
      <c r="J38" s="224"/>
    </row>
    <row r="39" spans="2:16">
      <c r="B39" s="16"/>
      <c r="C39" s="19" t="s">
        <v>219</v>
      </c>
      <c r="D39" s="76" t="s">
        <v>534</v>
      </c>
      <c r="E39" s="19" t="s">
        <v>220</v>
      </c>
      <c r="F39" s="31" t="s">
        <v>221</v>
      </c>
      <c r="G39" s="31" t="s">
        <v>222</v>
      </c>
      <c r="H39" s="76" t="s">
        <v>536</v>
      </c>
      <c r="I39" s="76" t="s">
        <v>537</v>
      </c>
      <c r="J39" s="15" t="s">
        <v>223</v>
      </c>
      <c r="K39" s="15" t="s">
        <v>224</v>
      </c>
      <c r="L39" s="15" t="s">
        <v>225</v>
      </c>
      <c r="M39" s="54"/>
    </row>
    <row r="40" spans="2:16">
      <c r="B40" s="56" t="s">
        <v>999</v>
      </c>
      <c r="C40" s="56">
        <v>0</v>
      </c>
      <c r="D40" s="1">
        <f>C40 / E30</f>
        <v>0</v>
      </c>
      <c r="E40" s="15">
        <f t="shared" ref="E40:E48" si="0">LOOKUP(B40, ArmorNames, ArmorDensity)</f>
        <v>7.82</v>
      </c>
      <c r="F40" s="15">
        <f t="shared" ref="F40:F48" si="1">LOOKUP(B40, ArmorNames, ArmorKE)</f>
        <v>1.8</v>
      </c>
      <c r="G40" s="15">
        <f t="shared" ref="G40:G48" si="2">LOOKUP(B40, ArmorNames, ArmorHEAT)</f>
        <v>1.3</v>
      </c>
      <c r="H40" s="1">
        <f t="shared" ref="H40:H48" si="3">IF(D40 &gt; 0, IF(LOOKUP(B40,ArmorNames,ArmorModifier) = 1, 1, -0.945*LN(D40) + 6.033), 1)</f>
        <v>1</v>
      </c>
      <c r="I40" s="1">
        <f t="shared" ref="I40:I48" si="4">IF(D40&gt;0, IF(LOOKUP(B40,ArmorNames,ArmorModifier)=1, 1, 7.8657*EXP(-0.009*D40)), 1)</f>
        <v>1</v>
      </c>
      <c r="J40" s="68">
        <f>D40 * F40 * H40</f>
        <v>0</v>
      </c>
      <c r="K40" s="68">
        <f>D40 * G40 * I40</f>
        <v>0</v>
      </c>
      <c r="L40" s="15">
        <f>(C40/10)*C34*E40/1000</f>
        <v>0</v>
      </c>
      <c r="M40" s="1"/>
    </row>
    <row r="41" spans="2:16">
      <c r="B41" s="56" t="s">
        <v>1021</v>
      </c>
      <c r="C41" s="56">
        <v>64</v>
      </c>
      <c r="D41" s="1">
        <f>C41 / E30</f>
        <v>93.841867880935993</v>
      </c>
      <c r="E41" s="59">
        <f t="shared" si="0"/>
        <v>7.86</v>
      </c>
      <c r="F41" s="59">
        <f t="shared" si="1"/>
        <v>0.91</v>
      </c>
      <c r="G41" s="59">
        <f t="shared" si="2"/>
        <v>0.91</v>
      </c>
      <c r="H41" s="1">
        <f t="shared" si="3"/>
        <v>1</v>
      </c>
      <c r="I41" s="1">
        <f t="shared" si="4"/>
        <v>1</v>
      </c>
      <c r="J41" s="68">
        <f t="shared" ref="J41:J48" si="5">D41 * F41 * H41</f>
        <v>85.396099771651762</v>
      </c>
      <c r="K41" s="68">
        <f t="shared" ref="K41:K48" si="6">D41 * G41 * I41</f>
        <v>85.396099771651762</v>
      </c>
      <c r="L41" s="15">
        <f>(C41/10)*C34*E41/1000</f>
        <v>1032.6359141618195</v>
      </c>
      <c r="M41" s="1"/>
    </row>
    <row r="42" spans="2:16">
      <c r="B42" s="55" t="s">
        <v>229</v>
      </c>
      <c r="C42" s="56">
        <v>0</v>
      </c>
      <c r="D42" s="1">
        <f>C42 / E30</f>
        <v>0</v>
      </c>
      <c r="E42" s="59">
        <f t="shared" si="0"/>
        <v>0</v>
      </c>
      <c r="F42" s="59">
        <f t="shared" si="1"/>
        <v>0</v>
      </c>
      <c r="G42" s="59">
        <f t="shared" si="2"/>
        <v>0</v>
      </c>
      <c r="H42" s="1">
        <f t="shared" si="3"/>
        <v>1</v>
      </c>
      <c r="I42" s="1">
        <f t="shared" si="4"/>
        <v>1</v>
      </c>
      <c r="J42" s="68">
        <f t="shared" si="5"/>
        <v>0</v>
      </c>
      <c r="K42" s="68">
        <f t="shared" si="6"/>
        <v>0</v>
      </c>
      <c r="L42" s="15">
        <f>(C42/10)*C34*E42/1000</f>
        <v>0</v>
      </c>
      <c r="M42" s="1"/>
    </row>
    <row r="43" spans="2:16">
      <c r="B43" s="56" t="s">
        <v>229</v>
      </c>
      <c r="C43" s="56">
        <v>0</v>
      </c>
      <c r="D43" s="1">
        <f>C43 / E30</f>
        <v>0</v>
      </c>
      <c r="E43" s="59">
        <f t="shared" si="0"/>
        <v>0</v>
      </c>
      <c r="F43" s="59">
        <f t="shared" si="1"/>
        <v>0</v>
      </c>
      <c r="G43" s="59">
        <f t="shared" si="2"/>
        <v>0</v>
      </c>
      <c r="H43" s="1">
        <f t="shared" si="3"/>
        <v>1</v>
      </c>
      <c r="I43" s="1">
        <f t="shared" si="4"/>
        <v>1</v>
      </c>
      <c r="J43" s="68">
        <f t="shared" si="5"/>
        <v>0</v>
      </c>
      <c r="K43" s="68">
        <f t="shared" si="6"/>
        <v>0</v>
      </c>
      <c r="L43" s="15">
        <f>(C43/10)*C34*E43/1000</f>
        <v>0</v>
      </c>
      <c r="M43" s="1"/>
    </row>
    <row r="44" spans="2:16">
      <c r="B44" s="56" t="s">
        <v>229</v>
      </c>
      <c r="C44" s="56">
        <v>0</v>
      </c>
      <c r="D44" s="1">
        <f>C44 / E30</f>
        <v>0</v>
      </c>
      <c r="E44" s="59">
        <f t="shared" si="0"/>
        <v>0</v>
      </c>
      <c r="F44" s="59">
        <f t="shared" si="1"/>
        <v>0</v>
      </c>
      <c r="G44" s="59">
        <f t="shared" si="2"/>
        <v>0</v>
      </c>
      <c r="H44" s="1">
        <f t="shared" si="3"/>
        <v>1</v>
      </c>
      <c r="I44" s="1">
        <f t="shared" si="4"/>
        <v>1</v>
      </c>
      <c r="J44" s="68">
        <f t="shared" si="5"/>
        <v>0</v>
      </c>
      <c r="K44" s="68">
        <f t="shared" si="6"/>
        <v>0</v>
      </c>
      <c r="L44" s="15">
        <f>(C44/10)*C34*E44/1000</f>
        <v>0</v>
      </c>
      <c r="M44" s="1"/>
    </row>
    <row r="45" spans="2:16">
      <c r="B45" s="56" t="s">
        <v>229</v>
      </c>
      <c r="C45" s="56">
        <v>0</v>
      </c>
      <c r="D45" s="1">
        <f>C45 / E30</f>
        <v>0</v>
      </c>
      <c r="E45" s="59">
        <f t="shared" si="0"/>
        <v>0</v>
      </c>
      <c r="F45" s="59">
        <f t="shared" si="1"/>
        <v>0</v>
      </c>
      <c r="G45" s="59">
        <f t="shared" si="2"/>
        <v>0</v>
      </c>
      <c r="H45" s="1">
        <f t="shared" si="3"/>
        <v>1</v>
      </c>
      <c r="I45" s="1">
        <f t="shared" si="4"/>
        <v>1</v>
      </c>
      <c r="J45" s="68">
        <f t="shared" si="5"/>
        <v>0</v>
      </c>
      <c r="K45" s="68">
        <f t="shared" si="6"/>
        <v>0</v>
      </c>
      <c r="L45" s="15">
        <f>(C45/10)*C34*E45/1000</f>
        <v>0</v>
      </c>
      <c r="M45" s="1"/>
    </row>
    <row r="46" spans="2:16">
      <c r="B46" s="56" t="s">
        <v>229</v>
      </c>
      <c r="C46" s="56">
        <v>0</v>
      </c>
      <c r="D46" s="1">
        <f>C46 / E30</f>
        <v>0</v>
      </c>
      <c r="E46" s="59">
        <f t="shared" si="0"/>
        <v>0</v>
      </c>
      <c r="F46" s="59">
        <f t="shared" si="1"/>
        <v>0</v>
      </c>
      <c r="G46" s="59">
        <f t="shared" si="2"/>
        <v>0</v>
      </c>
      <c r="H46" s="1">
        <f t="shared" si="3"/>
        <v>1</v>
      </c>
      <c r="I46" s="1">
        <f t="shared" si="4"/>
        <v>1</v>
      </c>
      <c r="J46" s="68">
        <f t="shared" si="5"/>
        <v>0</v>
      </c>
      <c r="K46" s="68">
        <f t="shared" si="6"/>
        <v>0</v>
      </c>
      <c r="L46" s="15">
        <f>(C46/10)*C34*E46/1000</f>
        <v>0</v>
      </c>
      <c r="M46" s="1"/>
    </row>
    <row r="47" spans="2:16">
      <c r="B47" s="56" t="s">
        <v>229</v>
      </c>
      <c r="C47" s="56">
        <v>0</v>
      </c>
      <c r="D47" s="1">
        <f>C47 / E30</f>
        <v>0</v>
      </c>
      <c r="E47" s="59">
        <f t="shared" si="0"/>
        <v>0</v>
      </c>
      <c r="F47" s="59">
        <f t="shared" si="1"/>
        <v>0</v>
      </c>
      <c r="G47" s="59">
        <f t="shared" si="2"/>
        <v>0</v>
      </c>
      <c r="H47" s="1">
        <f t="shared" si="3"/>
        <v>1</v>
      </c>
      <c r="I47" s="1">
        <f t="shared" si="4"/>
        <v>1</v>
      </c>
      <c r="J47" s="68">
        <f t="shared" si="5"/>
        <v>0</v>
      </c>
      <c r="K47" s="68">
        <f t="shared" si="6"/>
        <v>0</v>
      </c>
      <c r="L47" s="59">
        <f>(C47/10)*C35*E47/1000</f>
        <v>0</v>
      </c>
      <c r="M47" s="1"/>
    </row>
    <row r="48" spans="2:16">
      <c r="B48" s="56" t="s">
        <v>229</v>
      </c>
      <c r="C48" s="56">
        <v>0</v>
      </c>
      <c r="D48" s="1">
        <f>C48 / E30</f>
        <v>0</v>
      </c>
      <c r="E48" s="59">
        <f t="shared" si="0"/>
        <v>0</v>
      </c>
      <c r="F48" s="59">
        <f t="shared" si="1"/>
        <v>0</v>
      </c>
      <c r="G48" s="59">
        <f t="shared" si="2"/>
        <v>0</v>
      </c>
      <c r="H48" s="1">
        <f t="shared" si="3"/>
        <v>1</v>
      </c>
      <c r="I48" s="1">
        <f t="shared" si="4"/>
        <v>1</v>
      </c>
      <c r="J48" s="68">
        <f t="shared" si="5"/>
        <v>0</v>
      </c>
      <c r="K48" s="68">
        <f t="shared" si="6"/>
        <v>0</v>
      </c>
      <c r="L48" s="15">
        <f>(C48/10)*C34*E48/1000</f>
        <v>0</v>
      </c>
      <c r="M48" s="1"/>
    </row>
    <row r="49" spans="2:19">
      <c r="B49" s="16" t="s">
        <v>230</v>
      </c>
      <c r="C49" s="34">
        <f>SUM(C40:C48)</f>
        <v>64</v>
      </c>
      <c r="E49" s="19"/>
      <c r="F49" s="19"/>
      <c r="G49" s="19"/>
      <c r="J49" s="33">
        <f>SUM(J40:J48)</f>
        <v>85.396099771651762</v>
      </c>
      <c r="K49" s="33">
        <f>SUM(K40:K48)</f>
        <v>85.396099771651762</v>
      </c>
      <c r="L49" s="15">
        <f>SUM(L40:L48)</f>
        <v>1032.6359141618195</v>
      </c>
      <c r="M49" t="s">
        <v>276</v>
      </c>
    </row>
    <row r="50" spans="2:19">
      <c r="B50" s="16"/>
      <c r="D50" s="19"/>
      <c r="E50" s="19"/>
      <c r="F50" s="19"/>
      <c r="I50" s="19" t="s">
        <v>231</v>
      </c>
      <c r="J50" s="32">
        <v>1.1299999999999999</v>
      </c>
      <c r="K50" s="14"/>
      <c r="L50" s="14"/>
      <c r="M50" s="23"/>
    </row>
    <row r="51" spans="2:19">
      <c r="B51" s="16"/>
      <c r="D51" s="19"/>
      <c r="E51" s="19"/>
      <c r="F51" s="19"/>
      <c r="G51" s="19"/>
      <c r="J51" s="15">
        <f>J49*J50</f>
        <v>96.497592741966486</v>
      </c>
      <c r="K51" s="14"/>
      <c r="L51" s="15">
        <f>L49/1000</f>
        <v>1.0326359141618195</v>
      </c>
      <c r="M51" s="23" t="s">
        <v>540</v>
      </c>
    </row>
    <row r="52" spans="2:19" ht="15.75" thickBot="1">
      <c r="B52" s="35"/>
      <c r="C52" s="35"/>
      <c r="D52" s="35"/>
      <c r="E52" s="35"/>
      <c r="F52" s="35"/>
      <c r="G52" s="35"/>
      <c r="H52" s="35"/>
      <c r="I52" s="35"/>
      <c r="J52" s="35"/>
    </row>
    <row r="53" spans="2:19" ht="15.75" thickTop="1">
      <c r="B53" s="16"/>
      <c r="C53" s="16"/>
      <c r="D53" s="16"/>
      <c r="E53" s="14"/>
      <c r="F53" s="14"/>
      <c r="G53" s="14"/>
      <c r="H53" s="14"/>
      <c r="I53" s="14"/>
      <c r="J53" s="23"/>
    </row>
    <row r="54" spans="2:19" ht="15.75">
      <c r="B54" s="24" t="s">
        <v>232</v>
      </c>
      <c r="C54" s="16"/>
      <c r="D54" s="16"/>
      <c r="E54" s="14"/>
      <c r="F54" s="14"/>
      <c r="G54" s="14"/>
      <c r="H54" s="14"/>
      <c r="I54" s="14"/>
      <c r="J54" s="23"/>
      <c r="O54" s="2" t="s">
        <v>293</v>
      </c>
      <c r="R54" t="s">
        <v>300</v>
      </c>
      <c r="S54">
        <f>IF(C55 = 0, 0, P55/P59)</f>
        <v>1.4825609685127401</v>
      </c>
    </row>
    <row r="55" spans="2:19">
      <c r="B55" s="36" t="s">
        <v>209</v>
      </c>
      <c r="C55" s="57">
        <v>56</v>
      </c>
      <c r="D55" s="19" t="s">
        <v>210</v>
      </c>
      <c r="E55" s="14">
        <f>COS(RADIANS(C55))</f>
        <v>0.55919290347074679</v>
      </c>
      <c r="F55" s="14" t="s">
        <v>535</v>
      </c>
      <c r="G55" s="14"/>
      <c r="H55" s="14"/>
      <c r="I55" s="14"/>
      <c r="J55" s="138"/>
      <c r="O55" s="2" t="s">
        <v>294</v>
      </c>
      <c r="P55">
        <f>C9</f>
        <v>1</v>
      </c>
      <c r="Q55" t="s">
        <v>297</v>
      </c>
      <c r="R55" t="s">
        <v>301</v>
      </c>
      <c r="S55">
        <f>IF( C55 = 0, P55, P55/P58)</f>
        <v>1.7882916499714003</v>
      </c>
    </row>
    <row r="56" spans="2:19">
      <c r="B56" s="28" t="s">
        <v>211</v>
      </c>
      <c r="C56" s="29">
        <f>S55</f>
        <v>1.7882916499714003</v>
      </c>
      <c r="D56" s="14" t="s">
        <v>297</v>
      </c>
      <c r="E56" s="21">
        <f>C56*100</f>
        <v>178.82916499714003</v>
      </c>
      <c r="F56" s="14" t="s">
        <v>212</v>
      </c>
      <c r="G56" s="58">
        <f>E56*G2</f>
        <v>70.405182997926886</v>
      </c>
      <c r="H56" s="14" t="s">
        <v>303</v>
      </c>
      <c r="I56" s="14"/>
      <c r="J56" s="228" t="s">
        <v>1046</v>
      </c>
      <c r="K56">
        <f xml:space="preserve"> (C58^2 + 4*C29^2) / (8 * C29)</f>
        <v>2.4999999999999996</v>
      </c>
      <c r="L56" t="s">
        <v>297</v>
      </c>
      <c r="O56" s="2" t="s">
        <v>295</v>
      </c>
      <c r="P56">
        <f>IF(C55 = 0, 0, RADIANS(90-C55))</f>
        <v>0.59341194567807209</v>
      </c>
      <c r="Q56" t="s">
        <v>296</v>
      </c>
    </row>
    <row r="57" spans="2:19">
      <c r="B57" s="28" t="s">
        <v>213</v>
      </c>
      <c r="C57" s="21">
        <f>C3</f>
        <v>1.4</v>
      </c>
      <c r="D57" s="14" t="s">
        <v>297</v>
      </c>
      <c r="E57" s="62">
        <f t="shared" ref="E57:E58" si="7">C57*100</f>
        <v>140</v>
      </c>
      <c r="F57" s="14" t="s">
        <v>212</v>
      </c>
      <c r="G57" s="58">
        <f>E57*G2</f>
        <v>55.118110180000002</v>
      </c>
      <c r="H57" s="14" t="s">
        <v>303</v>
      </c>
      <c r="I57" s="14"/>
      <c r="J57" s="228" t="s">
        <v>1047</v>
      </c>
      <c r="K57">
        <f xml:space="preserve"> 2 * ATAN(C58 * 0.5 / (K56 - C29))</f>
        <v>0.56758821841665585</v>
      </c>
      <c r="L57" t="s">
        <v>1041</v>
      </c>
      <c r="O57" s="2"/>
    </row>
    <row r="58" spans="2:19">
      <c r="B58" s="28" t="s">
        <v>214</v>
      </c>
      <c r="C58" s="21">
        <f>C22</f>
        <v>1.4</v>
      </c>
      <c r="D58" s="14" t="s">
        <v>297</v>
      </c>
      <c r="E58" s="62">
        <f t="shared" si="7"/>
        <v>140</v>
      </c>
      <c r="F58" s="14" t="s">
        <v>212</v>
      </c>
      <c r="G58" s="58">
        <f>E58*G2</f>
        <v>55.118110180000002</v>
      </c>
      <c r="H58" s="14" t="s">
        <v>303</v>
      </c>
      <c r="I58" s="14"/>
      <c r="J58" s="138" t="s">
        <v>1045</v>
      </c>
      <c r="K58">
        <f xml:space="preserve"> K56 * K57</f>
        <v>1.4189705460416393</v>
      </c>
      <c r="L58" t="s">
        <v>297</v>
      </c>
      <c r="O58" s="2" t="s">
        <v>298</v>
      </c>
      <c r="P58">
        <f>SIN(P56)</f>
        <v>0.5591929034707469</v>
      </c>
    </row>
    <row r="59" spans="2:19">
      <c r="B59" s="28" t="s">
        <v>215</v>
      </c>
      <c r="C59" s="66">
        <f xml:space="preserve"> (E57+E58)*0.5 * E56</f>
        <v>25036.083099599604</v>
      </c>
      <c r="D59" s="14" t="s">
        <v>216</v>
      </c>
      <c r="E59" s="62"/>
      <c r="F59" s="14"/>
      <c r="G59" s="58">
        <f>C59*G2^2</f>
        <v>3880.6006337227964</v>
      </c>
      <c r="H59" s="14" t="s">
        <v>538</v>
      </c>
      <c r="I59" s="14"/>
      <c r="J59" s="228" t="s">
        <v>1048</v>
      </c>
      <c r="K59" s="312">
        <f xml:space="preserve"> (K32 + K58) * C56 / 2 * 100^2</f>
        <v>25375.331790416221</v>
      </c>
      <c r="L59" t="s">
        <v>216</v>
      </c>
      <c r="O59" s="2" t="s">
        <v>299</v>
      </c>
      <c r="P59">
        <f>TAN(P56)</f>
        <v>0.67450851684242674</v>
      </c>
    </row>
    <row r="60" spans="2:19">
      <c r="B60" s="28" t="s">
        <v>217</v>
      </c>
      <c r="C60" s="62">
        <f>(C59/ 100^2) * (C72 / 1000)</f>
        <v>0.12768402380795796</v>
      </c>
      <c r="D60" s="14" t="s">
        <v>218</v>
      </c>
      <c r="E60" s="14"/>
      <c r="F60" s="14"/>
      <c r="G60" s="58">
        <f>C60*G3^3</f>
        <v>4.509118766998232</v>
      </c>
      <c r="H60" s="14" t="s">
        <v>539</v>
      </c>
      <c r="I60" s="14"/>
      <c r="J60" s="311" t="s">
        <v>205</v>
      </c>
      <c r="K60">
        <f xml:space="preserve"> (K59 / 100^2) * (C72 / 1000)</f>
        <v>0.12941419213112274</v>
      </c>
      <c r="L60" t="s">
        <v>255</v>
      </c>
    </row>
    <row r="61" spans="2:19">
      <c r="B61" s="14"/>
      <c r="C61" s="14"/>
      <c r="D61" s="14"/>
      <c r="E61" s="14"/>
      <c r="F61" s="14"/>
      <c r="G61" s="14"/>
      <c r="H61" s="14"/>
      <c r="I61" s="14"/>
      <c r="J61" s="14"/>
    </row>
    <row r="62" spans="2:19">
      <c r="B62" s="16"/>
      <c r="C62" s="19" t="s">
        <v>219</v>
      </c>
      <c r="D62" s="76" t="s">
        <v>534</v>
      </c>
      <c r="E62" s="61" t="s">
        <v>220</v>
      </c>
      <c r="F62" s="67" t="s">
        <v>221</v>
      </c>
      <c r="G62" s="67" t="s">
        <v>222</v>
      </c>
      <c r="H62" s="76" t="s">
        <v>536</v>
      </c>
      <c r="I62" s="76" t="s">
        <v>537</v>
      </c>
      <c r="J62" s="59" t="s">
        <v>223</v>
      </c>
      <c r="K62" s="59" t="s">
        <v>224</v>
      </c>
      <c r="L62" s="59" t="s">
        <v>225</v>
      </c>
      <c r="M62" s="74"/>
    </row>
    <row r="63" spans="2:19">
      <c r="B63" s="56" t="s">
        <v>999</v>
      </c>
      <c r="C63" s="56">
        <v>0</v>
      </c>
      <c r="D63" s="1">
        <f>C63 / E55</f>
        <v>0</v>
      </c>
      <c r="E63" s="59">
        <f t="shared" ref="E63:E71" si="8">LOOKUP(B63, ArmorNames, ArmorDensity)</f>
        <v>7.82</v>
      </c>
      <c r="F63" s="59">
        <f t="shared" ref="F63:F71" si="9">LOOKUP(B63, ArmorNames, ArmorKE)</f>
        <v>1.8</v>
      </c>
      <c r="G63" s="59">
        <f t="shared" ref="G63:G71" si="10">LOOKUP(B63, ArmorNames, ArmorHEAT)</f>
        <v>1.3</v>
      </c>
      <c r="H63" s="1">
        <f t="shared" ref="H63:H71" si="11">IF(D63 &gt; 0, IF(LOOKUP(B63,ArmorNames,ArmorModifier) = 1, 1, 3.4383*EXP(-0.006*D63)), 1)</f>
        <v>1</v>
      </c>
      <c r="I63" s="1">
        <f t="shared" ref="I63:I71" si="12">IF(D63&gt;0, IF(LOOKUP(B63,ArmorNames,ArmorModifier)=1, 1, 7.8657*EXP(-0.009*D63)), 1)</f>
        <v>1</v>
      </c>
      <c r="J63" s="68">
        <f>D63 * F63 * H63</f>
        <v>0</v>
      </c>
      <c r="K63" s="68">
        <f>D63 * G63 * I63</f>
        <v>0</v>
      </c>
      <c r="L63" s="59">
        <f>(C63/10)*C59*E63/1000</f>
        <v>0</v>
      </c>
      <c r="M63" s="1"/>
    </row>
    <row r="64" spans="2:19">
      <c r="B64" s="56" t="s">
        <v>1021</v>
      </c>
      <c r="C64" s="56">
        <v>51</v>
      </c>
      <c r="D64" s="1">
        <f>C64 / E55</f>
        <v>91.20287414854144</v>
      </c>
      <c r="E64" s="59">
        <f t="shared" si="8"/>
        <v>7.86</v>
      </c>
      <c r="F64" s="59">
        <f t="shared" si="9"/>
        <v>0.91</v>
      </c>
      <c r="G64" s="59">
        <f t="shared" si="10"/>
        <v>0.91</v>
      </c>
      <c r="H64" s="1">
        <f t="shared" si="11"/>
        <v>1</v>
      </c>
      <c r="I64" s="1">
        <f t="shared" si="12"/>
        <v>1</v>
      </c>
      <c r="J64" s="68">
        <f t="shared" ref="J64:J71" si="13">D64 * F64 * H64</f>
        <v>82.994615475172708</v>
      </c>
      <c r="K64" s="68">
        <f t="shared" ref="K64:K71" si="14">D64 * G64 * I64</f>
        <v>82.994615475172708</v>
      </c>
      <c r="L64" s="59">
        <f>(C64/10)*C59*E64/1000</f>
        <v>1003.5964271305497</v>
      </c>
      <c r="M64" s="1"/>
    </row>
    <row r="65" spans="2:13">
      <c r="B65" s="75" t="s">
        <v>229</v>
      </c>
      <c r="C65" s="56">
        <v>0</v>
      </c>
      <c r="D65" s="1">
        <f>C65 / E55</f>
        <v>0</v>
      </c>
      <c r="E65" s="59">
        <f t="shared" si="8"/>
        <v>0</v>
      </c>
      <c r="F65" s="59">
        <f t="shared" si="9"/>
        <v>0</v>
      </c>
      <c r="G65" s="59">
        <f t="shared" si="10"/>
        <v>0</v>
      </c>
      <c r="H65" s="1">
        <f t="shared" si="11"/>
        <v>1</v>
      </c>
      <c r="I65" s="1">
        <f t="shared" si="12"/>
        <v>1</v>
      </c>
      <c r="J65" s="68">
        <f t="shared" si="13"/>
        <v>0</v>
      </c>
      <c r="K65" s="68">
        <f t="shared" si="14"/>
        <v>0</v>
      </c>
      <c r="L65" s="59">
        <f>(C65/10)*C59*E65/1000</f>
        <v>0</v>
      </c>
      <c r="M65" s="1"/>
    </row>
    <row r="66" spans="2:13">
      <c r="B66" s="56" t="s">
        <v>229</v>
      </c>
      <c r="C66" s="56">
        <v>0</v>
      </c>
      <c r="D66" s="1">
        <f>C66 / E55</f>
        <v>0</v>
      </c>
      <c r="E66" s="59">
        <f t="shared" si="8"/>
        <v>0</v>
      </c>
      <c r="F66" s="59">
        <f t="shared" si="9"/>
        <v>0</v>
      </c>
      <c r="G66" s="59">
        <f t="shared" si="10"/>
        <v>0</v>
      </c>
      <c r="H66" s="1">
        <f t="shared" si="11"/>
        <v>1</v>
      </c>
      <c r="I66" s="1">
        <f t="shared" si="12"/>
        <v>1</v>
      </c>
      <c r="J66" s="68">
        <f t="shared" si="13"/>
        <v>0</v>
      </c>
      <c r="K66" s="68">
        <f t="shared" si="14"/>
        <v>0</v>
      </c>
      <c r="L66" s="59">
        <f>(C66/10)*C59*E66/1000</f>
        <v>0</v>
      </c>
      <c r="M66" s="1"/>
    </row>
    <row r="67" spans="2:13">
      <c r="B67" s="56" t="s">
        <v>229</v>
      </c>
      <c r="C67" s="56">
        <v>0</v>
      </c>
      <c r="D67" s="1">
        <f>C67 / E55</f>
        <v>0</v>
      </c>
      <c r="E67" s="59">
        <f t="shared" si="8"/>
        <v>0</v>
      </c>
      <c r="F67" s="59">
        <f t="shared" si="9"/>
        <v>0</v>
      </c>
      <c r="G67" s="59">
        <f t="shared" si="10"/>
        <v>0</v>
      </c>
      <c r="H67" s="1">
        <f t="shared" si="11"/>
        <v>1</v>
      </c>
      <c r="I67" s="1">
        <f t="shared" si="12"/>
        <v>1</v>
      </c>
      <c r="J67" s="68">
        <f t="shared" si="13"/>
        <v>0</v>
      </c>
      <c r="K67" s="68">
        <f t="shared" si="14"/>
        <v>0</v>
      </c>
      <c r="L67" s="59">
        <f>(C67/10)*C59*E67/1000</f>
        <v>0</v>
      </c>
      <c r="M67" s="1"/>
    </row>
    <row r="68" spans="2:13">
      <c r="B68" s="56" t="s">
        <v>229</v>
      </c>
      <c r="C68" s="56">
        <v>0</v>
      </c>
      <c r="D68" s="1">
        <f>C68 / E55</f>
        <v>0</v>
      </c>
      <c r="E68" s="59">
        <f t="shared" si="8"/>
        <v>0</v>
      </c>
      <c r="F68" s="59">
        <f t="shared" si="9"/>
        <v>0</v>
      </c>
      <c r="G68" s="59">
        <f t="shared" si="10"/>
        <v>0</v>
      </c>
      <c r="H68" s="1">
        <f t="shared" si="11"/>
        <v>1</v>
      </c>
      <c r="I68" s="1">
        <f t="shared" si="12"/>
        <v>1</v>
      </c>
      <c r="J68" s="68">
        <f t="shared" si="13"/>
        <v>0</v>
      </c>
      <c r="K68" s="68">
        <f t="shared" si="14"/>
        <v>0</v>
      </c>
      <c r="L68" s="59">
        <f>(C68/10)*C59*E68/1000</f>
        <v>0</v>
      </c>
      <c r="M68" s="1"/>
    </row>
    <row r="69" spans="2:13">
      <c r="B69" s="56" t="s">
        <v>229</v>
      </c>
      <c r="C69" s="56">
        <v>0</v>
      </c>
      <c r="D69" s="1">
        <f>C69 / E55</f>
        <v>0</v>
      </c>
      <c r="E69" s="59">
        <f t="shared" si="8"/>
        <v>0</v>
      </c>
      <c r="F69" s="59">
        <f t="shared" si="9"/>
        <v>0</v>
      </c>
      <c r="G69" s="59">
        <f t="shared" si="10"/>
        <v>0</v>
      </c>
      <c r="H69" s="1">
        <f t="shared" si="11"/>
        <v>1</v>
      </c>
      <c r="I69" s="1">
        <f t="shared" si="12"/>
        <v>1</v>
      </c>
      <c r="J69" s="68">
        <f t="shared" si="13"/>
        <v>0</v>
      </c>
      <c r="K69" s="68">
        <f t="shared" si="14"/>
        <v>0</v>
      </c>
      <c r="L69" s="59">
        <f>(C69/10)*C59*E69/1000</f>
        <v>0</v>
      </c>
      <c r="M69" s="1"/>
    </row>
    <row r="70" spans="2:13">
      <c r="B70" s="56" t="s">
        <v>229</v>
      </c>
      <c r="C70" s="56">
        <v>0</v>
      </c>
      <c r="D70" s="1">
        <f>C70 / E55</f>
        <v>0</v>
      </c>
      <c r="E70" s="59">
        <f t="shared" si="8"/>
        <v>0</v>
      </c>
      <c r="F70" s="59">
        <f t="shared" si="9"/>
        <v>0</v>
      </c>
      <c r="G70" s="59">
        <f t="shared" si="10"/>
        <v>0</v>
      </c>
      <c r="H70" s="1">
        <f t="shared" si="11"/>
        <v>1</v>
      </c>
      <c r="I70" s="1">
        <f t="shared" si="12"/>
        <v>1</v>
      </c>
      <c r="J70" s="68">
        <f t="shared" si="13"/>
        <v>0</v>
      </c>
      <c r="K70" s="68">
        <f t="shared" si="14"/>
        <v>0</v>
      </c>
      <c r="L70" s="59">
        <f>(C70/10)*C59*E70/1000</f>
        <v>0</v>
      </c>
      <c r="M70" s="1"/>
    </row>
    <row r="71" spans="2:13">
      <c r="B71" s="75" t="s">
        <v>229</v>
      </c>
      <c r="C71" s="75">
        <v>0</v>
      </c>
      <c r="D71" s="1">
        <f>C71 / E55</f>
        <v>0</v>
      </c>
      <c r="E71" s="59">
        <f t="shared" si="8"/>
        <v>0</v>
      </c>
      <c r="F71" s="59">
        <f t="shared" si="9"/>
        <v>0</v>
      </c>
      <c r="G71" s="59">
        <f t="shared" si="10"/>
        <v>0</v>
      </c>
      <c r="H71" s="1">
        <f t="shared" si="11"/>
        <v>1</v>
      </c>
      <c r="I71" s="1">
        <f t="shared" si="12"/>
        <v>1</v>
      </c>
      <c r="J71" s="68">
        <f t="shared" si="13"/>
        <v>0</v>
      </c>
      <c r="K71" s="68">
        <f t="shared" si="14"/>
        <v>0</v>
      </c>
      <c r="L71" s="59">
        <f>(C71/10)*C59*E71/1000</f>
        <v>0</v>
      </c>
      <c r="M71" s="1"/>
    </row>
    <row r="72" spans="2:13">
      <c r="B72" s="16" t="s">
        <v>230</v>
      </c>
      <c r="C72" s="34">
        <f>SUM(C63:C71)</f>
        <v>51</v>
      </c>
      <c r="E72" s="61"/>
      <c r="F72" s="61"/>
      <c r="G72" s="61"/>
      <c r="J72" s="68">
        <f>SUM(J63:J71)</f>
        <v>82.994615475172708</v>
      </c>
      <c r="K72" s="68">
        <f>SUM(K63:K71)</f>
        <v>82.994615475172708</v>
      </c>
      <c r="L72" s="59">
        <f>SUM(L63:L71)</f>
        <v>1003.5964271305497</v>
      </c>
      <c r="M72" t="s">
        <v>276</v>
      </c>
    </row>
    <row r="73" spans="2:13">
      <c r="B73" s="16"/>
      <c r="C73" s="31"/>
      <c r="D73" s="19"/>
      <c r="E73" s="19"/>
      <c r="I73" s="19" t="s">
        <v>231</v>
      </c>
      <c r="J73" s="56">
        <v>1.1299999999999999</v>
      </c>
      <c r="K73" s="33"/>
      <c r="L73" s="14"/>
      <c r="M73" s="23"/>
    </row>
    <row r="74" spans="2:13">
      <c r="B74" s="16"/>
      <c r="C74" s="19"/>
      <c r="D74" s="19"/>
      <c r="E74" s="19"/>
      <c r="I74" s="19"/>
      <c r="J74" s="15">
        <f>J72*J73</f>
        <v>93.783915486945148</v>
      </c>
      <c r="K74" s="14"/>
      <c r="L74" s="15">
        <f>L72/1000</f>
        <v>1.0035964271305498</v>
      </c>
      <c r="M74" s="23" t="s">
        <v>540</v>
      </c>
    </row>
    <row r="75" spans="2:13" ht="15.75" thickBot="1">
      <c r="B75" s="35"/>
      <c r="C75" s="35"/>
      <c r="D75" s="35"/>
      <c r="E75" s="35"/>
      <c r="F75" s="35"/>
      <c r="G75" s="35"/>
      <c r="H75" s="35"/>
      <c r="I75" s="35"/>
      <c r="J75" s="35"/>
    </row>
    <row r="76" spans="2:13" ht="15.75" thickTop="1">
      <c r="B76" s="16"/>
      <c r="C76" s="19"/>
      <c r="D76" s="19"/>
      <c r="E76" s="19"/>
      <c r="F76" s="19"/>
      <c r="G76" s="14"/>
      <c r="H76" s="14"/>
      <c r="I76" s="14"/>
      <c r="J76" s="23"/>
    </row>
    <row r="77" spans="2:13" ht="15.75">
      <c r="B77" s="24" t="s">
        <v>233</v>
      </c>
      <c r="C77" s="19"/>
      <c r="D77" s="19"/>
      <c r="E77" s="19"/>
      <c r="F77" s="19"/>
      <c r="G77" s="14"/>
      <c r="H77" s="14"/>
      <c r="I77" s="14"/>
      <c r="J77" s="23"/>
    </row>
    <row r="78" spans="2:13" ht="15.75">
      <c r="B78" s="24"/>
      <c r="C78" s="34" t="s">
        <v>234</v>
      </c>
      <c r="D78" s="34" t="s">
        <v>171</v>
      </c>
      <c r="E78" s="34" t="s">
        <v>172</v>
      </c>
      <c r="F78" s="14"/>
      <c r="G78" s="14"/>
      <c r="H78" s="14"/>
      <c r="I78" s="14"/>
      <c r="J78" s="23"/>
    </row>
    <row r="79" spans="2:13">
      <c r="B79" s="28" t="s">
        <v>235</v>
      </c>
      <c r="C79" s="48">
        <f>C34</f>
        <v>20527.908598954746</v>
      </c>
      <c r="D79" s="103">
        <f>J51 + D80</f>
        <v>96.497592741966486</v>
      </c>
      <c r="E79" s="103">
        <f>K49 + E80</f>
        <v>85.396099771651762</v>
      </c>
      <c r="F79" s="14"/>
      <c r="G79" s="14"/>
      <c r="H79" s="14"/>
      <c r="I79" s="14"/>
      <c r="J79" s="23"/>
    </row>
    <row r="80" spans="2:13">
      <c r="B80" s="28" t="s">
        <v>236</v>
      </c>
      <c r="C80" s="48" t="s">
        <v>237</v>
      </c>
      <c r="D80" s="103">
        <v>0</v>
      </c>
      <c r="E80" s="103">
        <v>0</v>
      </c>
      <c r="F80" s="14"/>
      <c r="G80" s="14"/>
      <c r="H80" s="14"/>
      <c r="I80" s="14"/>
      <c r="J80" s="23"/>
    </row>
    <row r="81" spans="2:19">
      <c r="B81" s="28" t="s">
        <v>238</v>
      </c>
      <c r="C81" s="48">
        <f>C59</f>
        <v>25036.083099599604</v>
      </c>
      <c r="D81" s="103">
        <f xml:space="preserve"> J74 + D82</f>
        <v>93.783915486945148</v>
      </c>
      <c r="E81" s="103">
        <f xml:space="preserve"> K72 + E82</f>
        <v>82.994615475172708</v>
      </c>
      <c r="F81" s="14"/>
      <c r="G81" s="14"/>
      <c r="H81" s="14"/>
      <c r="I81" s="14"/>
      <c r="J81" s="23"/>
    </row>
    <row r="82" spans="2:19">
      <c r="B82" s="28" t="s">
        <v>239</v>
      </c>
      <c r="C82" s="48" t="s">
        <v>237</v>
      </c>
      <c r="D82" s="103">
        <v>0</v>
      </c>
      <c r="E82" s="103">
        <v>0</v>
      </c>
      <c r="F82" s="14"/>
      <c r="G82" s="14"/>
      <c r="H82" s="14"/>
      <c r="I82" s="14"/>
      <c r="J82" s="23"/>
    </row>
    <row r="83" spans="2:19">
      <c r="B83" s="28" t="s">
        <v>240</v>
      </c>
      <c r="C83" s="48">
        <f>SUM(C79:C82)</f>
        <v>45563.991698554353</v>
      </c>
      <c r="D83" s="48"/>
      <c r="E83" s="49"/>
      <c r="F83" s="14"/>
      <c r="G83" s="14"/>
      <c r="H83" s="14"/>
      <c r="I83" s="14"/>
      <c r="J83" s="23"/>
    </row>
    <row r="84" spans="2:19">
      <c r="B84" s="28"/>
      <c r="C84" s="49"/>
      <c r="D84" s="49"/>
      <c r="E84" s="49"/>
      <c r="F84" s="14"/>
      <c r="G84" s="14"/>
      <c r="H84" s="14"/>
      <c r="I84" s="14"/>
      <c r="J84" s="23"/>
    </row>
    <row r="85" spans="2:19">
      <c r="B85" s="14" t="s">
        <v>223</v>
      </c>
      <c r="C85" s="40">
        <f xml:space="preserve"> ((C79*D79)+(C81*D81)) / C83</f>
        <v>95.00650632197744</v>
      </c>
      <c r="D85" s="50" t="s">
        <v>241</v>
      </c>
      <c r="E85" s="40"/>
      <c r="F85" s="23"/>
      <c r="G85" s="14"/>
      <c r="H85" s="14"/>
      <c r="I85" s="14"/>
      <c r="J85" s="14"/>
    </row>
    <row r="86" spans="2:19">
      <c r="B86" s="16" t="s">
        <v>224</v>
      </c>
      <c r="C86" s="48">
        <f xml:space="preserve"> ((C79*E79)+(C81*E81)) / C83</f>
        <v>84.076554267236688</v>
      </c>
      <c r="D86" s="50" t="s">
        <v>241</v>
      </c>
      <c r="E86" s="51"/>
      <c r="F86" s="19"/>
      <c r="G86" s="14"/>
      <c r="H86" s="14"/>
      <c r="I86" s="14"/>
      <c r="J86" s="23"/>
    </row>
    <row r="87" spans="2:19">
      <c r="B87" s="16" t="s">
        <v>120</v>
      </c>
      <c r="C87" s="48">
        <f xml:space="preserve"> L51 + L74</f>
        <v>2.0362323412923695</v>
      </c>
      <c r="D87" s="50" t="s">
        <v>840</v>
      </c>
      <c r="E87" s="51"/>
      <c r="F87" s="19"/>
      <c r="G87" s="14"/>
      <c r="H87" s="14"/>
      <c r="I87" s="14"/>
      <c r="J87" s="23"/>
    </row>
    <row r="88" spans="2:19" ht="15.75" thickBot="1">
      <c r="B88" s="35"/>
      <c r="C88" s="35"/>
      <c r="D88" s="35"/>
      <c r="E88" s="35"/>
      <c r="F88" s="35"/>
      <c r="G88" s="35"/>
      <c r="H88" s="35"/>
      <c r="I88" s="35"/>
      <c r="J88" s="35"/>
    </row>
    <row r="89" spans="2:19" ht="15.75" thickTop="1">
      <c r="B89" s="16"/>
      <c r="C89" s="19"/>
      <c r="D89" s="19"/>
      <c r="E89" s="19"/>
      <c r="F89" s="19"/>
      <c r="G89" s="14"/>
      <c r="H89" s="14"/>
      <c r="I89" s="14"/>
      <c r="J89" s="23"/>
    </row>
    <row r="90" spans="2:19" ht="15.75">
      <c r="B90" s="24" t="s">
        <v>242</v>
      </c>
      <c r="C90" s="19"/>
      <c r="D90" s="19"/>
      <c r="E90" s="19"/>
      <c r="F90" s="19"/>
      <c r="G90" s="14"/>
      <c r="H90" s="14"/>
      <c r="I90" s="14"/>
      <c r="J90" s="23"/>
    </row>
    <row r="91" spans="2:19" ht="15.75">
      <c r="B91" s="24"/>
      <c r="C91" s="14"/>
      <c r="D91" s="60"/>
      <c r="E91" s="58"/>
      <c r="F91" s="58"/>
      <c r="G91" s="58"/>
      <c r="H91" s="58"/>
      <c r="I91" s="58"/>
      <c r="J91" s="63"/>
      <c r="O91" s="2" t="s">
        <v>541</v>
      </c>
      <c r="R91" t="s">
        <v>300</v>
      </c>
      <c r="S91">
        <f>IF(C92 = 0, 0, P92/P96)</f>
        <v>0</v>
      </c>
    </row>
    <row r="92" spans="2:19">
      <c r="B92" s="73" t="s">
        <v>209</v>
      </c>
      <c r="C92" s="42">
        <v>0</v>
      </c>
      <c r="D92" s="61" t="s">
        <v>210</v>
      </c>
      <c r="E92" s="58">
        <f>COS(RADIANS(C92))</f>
        <v>1</v>
      </c>
      <c r="F92" s="58" t="s">
        <v>535</v>
      </c>
      <c r="G92" s="58"/>
      <c r="H92" s="58"/>
      <c r="I92" s="58"/>
      <c r="J92" s="63"/>
      <c r="O92" s="2" t="s">
        <v>294</v>
      </c>
      <c r="P92">
        <f>C8</f>
        <v>1</v>
      </c>
      <c r="Q92" t="s">
        <v>297</v>
      </c>
      <c r="R92" t="s">
        <v>301</v>
      </c>
      <c r="S92">
        <f>IF( C92 = 0, P92, P92/P95)</f>
        <v>1</v>
      </c>
    </row>
    <row r="93" spans="2:19">
      <c r="B93" s="28" t="s">
        <v>211</v>
      </c>
      <c r="C93" s="113">
        <f>S92</f>
        <v>1</v>
      </c>
      <c r="D93" s="58" t="s">
        <v>297</v>
      </c>
      <c r="E93" s="62">
        <f>C93*100</f>
        <v>100</v>
      </c>
      <c r="F93" s="58" t="s">
        <v>212</v>
      </c>
      <c r="G93" s="58">
        <f>E93*G2</f>
        <v>39.370078700000001</v>
      </c>
      <c r="H93" s="58" t="s">
        <v>303</v>
      </c>
      <c r="I93" s="58"/>
      <c r="J93" s="63"/>
      <c r="O93" s="2" t="s">
        <v>295</v>
      </c>
      <c r="P93">
        <f>IF(C92 = 0, 0, RADIANS(90-C92))</f>
        <v>0</v>
      </c>
      <c r="Q93" t="s">
        <v>296</v>
      </c>
    </row>
    <row r="94" spans="2:19">
      <c r="B94" s="28" t="s">
        <v>542</v>
      </c>
      <c r="C94" s="113">
        <f>C11 - (C49 + C177) / 1000</f>
        <v>4.9493043092668518</v>
      </c>
      <c r="D94" s="58" t="s">
        <v>297</v>
      </c>
      <c r="E94" s="62">
        <f t="shared" ref="E94:E95" si="15">C94*100</f>
        <v>494.93043092668518</v>
      </c>
      <c r="F94" s="58" t="s">
        <v>212</v>
      </c>
      <c r="G94" s="58">
        <f>E94*G2</f>
        <v>194.8545001660851</v>
      </c>
      <c r="H94" s="58" t="s">
        <v>303</v>
      </c>
      <c r="I94" s="58"/>
      <c r="J94" s="63"/>
      <c r="O94" s="2"/>
    </row>
    <row r="95" spans="2:19">
      <c r="B95" s="28" t="s">
        <v>543</v>
      </c>
      <c r="C95" s="113">
        <f>C2 - (C49 + C177) / 1000</f>
        <v>6.1979999999999995</v>
      </c>
      <c r="D95" s="58" t="s">
        <v>297</v>
      </c>
      <c r="E95" s="62">
        <f t="shared" si="15"/>
        <v>619.79999999999995</v>
      </c>
      <c r="F95" s="58" t="s">
        <v>212</v>
      </c>
      <c r="G95" s="58">
        <f>E95*G2</f>
        <v>244.01574778259999</v>
      </c>
      <c r="H95" s="58" t="s">
        <v>303</v>
      </c>
      <c r="I95" s="58"/>
      <c r="J95" s="63"/>
      <c r="O95" s="2" t="s">
        <v>298</v>
      </c>
      <c r="P95">
        <f>SIN(P93)</f>
        <v>0</v>
      </c>
    </row>
    <row r="96" spans="2:19">
      <c r="B96" s="28" t="s">
        <v>215</v>
      </c>
      <c r="C96" s="114">
        <f xml:space="preserve"> (E94+E95) * E93</f>
        <v>111473.04309266851</v>
      </c>
      <c r="D96" s="58" t="s">
        <v>216</v>
      </c>
      <c r="E96" s="62"/>
      <c r="F96" s="58"/>
      <c r="G96" s="58">
        <f>C96*G2^2</f>
        <v>17278.356200828242</v>
      </c>
      <c r="H96" s="58" t="s">
        <v>538</v>
      </c>
      <c r="I96" s="58"/>
      <c r="J96" s="63"/>
      <c r="O96" s="2" t="s">
        <v>299</v>
      </c>
      <c r="P96">
        <f>TAN(P93)</f>
        <v>0</v>
      </c>
    </row>
    <row r="97" spans="2:13">
      <c r="B97" s="28" t="s">
        <v>217</v>
      </c>
      <c r="C97" s="62">
        <f>(C96/ 100^2) * (C109 / 1000)</f>
        <v>0.4235975637521403</v>
      </c>
      <c r="D97" s="58" t="s">
        <v>218</v>
      </c>
      <c r="E97" s="58"/>
      <c r="F97" s="58"/>
      <c r="G97" s="58">
        <f>C97*G3^3</f>
        <v>14.959206856155335</v>
      </c>
      <c r="H97" s="58" t="s">
        <v>539</v>
      </c>
      <c r="I97" s="58"/>
      <c r="J97" s="63"/>
    </row>
    <row r="98" spans="2:13">
      <c r="B98" s="14"/>
      <c r="C98" s="14"/>
      <c r="D98" s="58"/>
      <c r="E98" s="58"/>
      <c r="F98" s="58"/>
      <c r="G98" s="58"/>
      <c r="H98" s="58"/>
      <c r="I98" s="58"/>
      <c r="J98" s="58"/>
    </row>
    <row r="99" spans="2:13">
      <c r="B99" s="31" t="s">
        <v>243</v>
      </c>
      <c r="C99" s="19" t="s">
        <v>219</v>
      </c>
      <c r="D99" s="76" t="s">
        <v>534</v>
      </c>
      <c r="E99" s="61" t="s">
        <v>220</v>
      </c>
      <c r="F99" s="67" t="s">
        <v>221</v>
      </c>
      <c r="G99" s="67" t="s">
        <v>222</v>
      </c>
      <c r="H99" s="76" t="s">
        <v>536</v>
      </c>
      <c r="I99" s="76" t="s">
        <v>537</v>
      </c>
      <c r="J99" s="59" t="s">
        <v>223</v>
      </c>
      <c r="K99" s="59" t="s">
        <v>224</v>
      </c>
      <c r="L99" s="59" t="s">
        <v>225</v>
      </c>
      <c r="M99" s="74"/>
    </row>
    <row r="100" spans="2:13">
      <c r="B100" s="56" t="s">
        <v>1021</v>
      </c>
      <c r="C100" s="56">
        <v>38</v>
      </c>
      <c r="D100" s="1">
        <f>C100 / E92</f>
        <v>38</v>
      </c>
      <c r="E100" s="59">
        <f t="shared" ref="E100:E108" si="16">LOOKUP(B100, ArmorNames, ArmorDensity)</f>
        <v>7.86</v>
      </c>
      <c r="F100" s="59">
        <f t="shared" ref="F100:F108" si="17">LOOKUP(B100, ArmorNames, ArmorKE)</f>
        <v>0.91</v>
      </c>
      <c r="G100" s="59">
        <f t="shared" ref="G100:G108" si="18">LOOKUP(B100, ArmorNames, ArmorHEAT)</f>
        <v>0.91</v>
      </c>
      <c r="H100" s="1">
        <f t="shared" ref="H100:H108" si="19">IF(D100 &gt; 0, IF(LOOKUP(B100,ArmorNames,ArmorModifier) = 1, 1, 3.4383*EXP(-0.006*D100)), 1)</f>
        <v>1</v>
      </c>
      <c r="I100" s="1">
        <f t="shared" ref="I100:I108" si="20">IF(D100&gt;0, IF(LOOKUP(B100,ArmorNames,ArmorModifier)=1, 1, 7.8657*EXP(-0.009*D100)), 1)</f>
        <v>1</v>
      </c>
      <c r="J100" s="68">
        <f t="shared" ref="J100:J101" si="21">D100 * F100 * H100</f>
        <v>34.58</v>
      </c>
      <c r="K100" s="68">
        <f>D100 * G100 * I100</f>
        <v>34.58</v>
      </c>
      <c r="L100" s="59">
        <f>(C100/10)*C96*E100/1000</f>
        <v>3329.4768510918229</v>
      </c>
      <c r="M100" s="1"/>
    </row>
    <row r="101" spans="2:13">
      <c r="B101" s="56" t="s">
        <v>229</v>
      </c>
      <c r="C101" s="56">
        <v>0</v>
      </c>
      <c r="D101" s="1">
        <f>C101 / E92</f>
        <v>0</v>
      </c>
      <c r="E101" s="59">
        <f t="shared" si="16"/>
        <v>0</v>
      </c>
      <c r="F101" s="59">
        <f t="shared" si="17"/>
        <v>0</v>
      </c>
      <c r="G101" s="59">
        <f t="shared" si="18"/>
        <v>0</v>
      </c>
      <c r="H101" s="1">
        <f t="shared" si="19"/>
        <v>1</v>
      </c>
      <c r="I101" s="1">
        <f t="shared" si="20"/>
        <v>1</v>
      </c>
      <c r="J101" s="68">
        <f t="shared" si="21"/>
        <v>0</v>
      </c>
      <c r="K101" s="68">
        <f t="shared" ref="K101:K108" si="22">D101 * G101 * I101</f>
        <v>0</v>
      </c>
      <c r="L101" s="59">
        <f>(C101/10)*C96*E101/1000</f>
        <v>0</v>
      </c>
      <c r="M101" s="1"/>
    </row>
    <row r="102" spans="2:13">
      <c r="B102" s="75" t="s">
        <v>229</v>
      </c>
      <c r="C102" s="56">
        <v>0</v>
      </c>
      <c r="D102" s="1">
        <f>C102 / E92</f>
        <v>0</v>
      </c>
      <c r="E102" s="59">
        <f t="shared" si="16"/>
        <v>0</v>
      </c>
      <c r="F102" s="59">
        <f t="shared" si="17"/>
        <v>0</v>
      </c>
      <c r="G102" s="59">
        <f t="shared" si="18"/>
        <v>0</v>
      </c>
      <c r="H102" s="1">
        <f t="shared" si="19"/>
        <v>1</v>
      </c>
      <c r="I102" s="1">
        <f t="shared" si="20"/>
        <v>1</v>
      </c>
      <c r="J102" s="68">
        <f>D102 * F102 * H102</f>
        <v>0</v>
      </c>
      <c r="K102" s="68">
        <f t="shared" si="22"/>
        <v>0</v>
      </c>
      <c r="L102" s="59">
        <f>(C102/10)*C96*E102/1000</f>
        <v>0</v>
      </c>
      <c r="M102" s="1"/>
    </row>
    <row r="103" spans="2:13">
      <c r="B103" s="56" t="s">
        <v>229</v>
      </c>
      <c r="C103" s="56">
        <v>0</v>
      </c>
      <c r="D103" s="1">
        <f>C103 / E92</f>
        <v>0</v>
      </c>
      <c r="E103" s="59">
        <f t="shared" si="16"/>
        <v>0</v>
      </c>
      <c r="F103" s="59">
        <f t="shared" si="17"/>
        <v>0</v>
      </c>
      <c r="G103" s="59">
        <f t="shared" si="18"/>
        <v>0</v>
      </c>
      <c r="H103" s="1">
        <f t="shared" si="19"/>
        <v>1</v>
      </c>
      <c r="I103" s="1">
        <f t="shared" si="20"/>
        <v>1</v>
      </c>
      <c r="J103" s="68">
        <f t="shared" ref="J103:J108" si="23">D103 * F103 * H103</f>
        <v>0</v>
      </c>
      <c r="K103" s="68">
        <f t="shared" si="22"/>
        <v>0</v>
      </c>
      <c r="L103" s="59">
        <f>(C103/10)*C96*E103/1000</f>
        <v>0</v>
      </c>
      <c r="M103" s="1"/>
    </row>
    <row r="104" spans="2:13">
      <c r="B104" s="56" t="s">
        <v>229</v>
      </c>
      <c r="C104" s="56">
        <v>0</v>
      </c>
      <c r="D104" s="1">
        <f>C104 / E92</f>
        <v>0</v>
      </c>
      <c r="E104" s="59">
        <f t="shared" si="16"/>
        <v>0</v>
      </c>
      <c r="F104" s="59">
        <f t="shared" si="17"/>
        <v>0</v>
      </c>
      <c r="G104" s="59">
        <f t="shared" si="18"/>
        <v>0</v>
      </c>
      <c r="H104" s="1">
        <f t="shared" si="19"/>
        <v>1</v>
      </c>
      <c r="I104" s="1">
        <f t="shared" si="20"/>
        <v>1</v>
      </c>
      <c r="J104" s="68">
        <f t="shared" si="23"/>
        <v>0</v>
      </c>
      <c r="K104" s="68">
        <f t="shared" si="22"/>
        <v>0</v>
      </c>
      <c r="L104" s="59">
        <f>(C104/10)*C96*E104/1000</f>
        <v>0</v>
      </c>
      <c r="M104" s="1"/>
    </row>
    <row r="105" spans="2:13">
      <c r="B105" s="56" t="s">
        <v>229</v>
      </c>
      <c r="C105" s="56">
        <v>0</v>
      </c>
      <c r="D105" s="1">
        <f>C105 / E92</f>
        <v>0</v>
      </c>
      <c r="E105" s="59">
        <f t="shared" si="16"/>
        <v>0</v>
      </c>
      <c r="F105" s="59">
        <f t="shared" si="17"/>
        <v>0</v>
      </c>
      <c r="G105" s="59">
        <f t="shared" si="18"/>
        <v>0</v>
      </c>
      <c r="H105" s="1">
        <f t="shared" si="19"/>
        <v>1</v>
      </c>
      <c r="I105" s="1">
        <f t="shared" si="20"/>
        <v>1</v>
      </c>
      <c r="J105" s="68">
        <f t="shared" si="23"/>
        <v>0</v>
      </c>
      <c r="K105" s="68">
        <f t="shared" si="22"/>
        <v>0</v>
      </c>
      <c r="L105" s="59">
        <f>(C105/10)*C96*E105/1000</f>
        <v>0</v>
      </c>
      <c r="M105" s="1"/>
    </row>
    <row r="106" spans="2:13">
      <c r="B106" s="56" t="s">
        <v>229</v>
      </c>
      <c r="C106" s="56">
        <v>0</v>
      </c>
      <c r="D106" s="1">
        <f>C106 / E92</f>
        <v>0</v>
      </c>
      <c r="E106" s="59">
        <f t="shared" si="16"/>
        <v>0</v>
      </c>
      <c r="F106" s="59">
        <f t="shared" si="17"/>
        <v>0</v>
      </c>
      <c r="G106" s="59">
        <f t="shared" si="18"/>
        <v>0</v>
      </c>
      <c r="H106" s="1">
        <f t="shared" si="19"/>
        <v>1</v>
      </c>
      <c r="I106" s="1">
        <f t="shared" si="20"/>
        <v>1</v>
      </c>
      <c r="J106" s="68">
        <f t="shared" si="23"/>
        <v>0</v>
      </c>
      <c r="K106" s="68">
        <f t="shared" si="22"/>
        <v>0</v>
      </c>
      <c r="L106" s="59">
        <f>(C106/10)*C96*E106/1000</f>
        <v>0</v>
      </c>
      <c r="M106" s="1"/>
    </row>
    <row r="107" spans="2:13">
      <c r="B107" s="56" t="s">
        <v>229</v>
      </c>
      <c r="C107" s="56">
        <v>0</v>
      </c>
      <c r="D107" s="1">
        <f>C107 / E92</f>
        <v>0</v>
      </c>
      <c r="E107" s="59">
        <f t="shared" si="16"/>
        <v>0</v>
      </c>
      <c r="F107" s="59">
        <f t="shared" si="17"/>
        <v>0</v>
      </c>
      <c r="G107" s="59">
        <f t="shared" si="18"/>
        <v>0</v>
      </c>
      <c r="H107" s="1">
        <f t="shared" si="19"/>
        <v>1</v>
      </c>
      <c r="I107" s="1">
        <f t="shared" si="20"/>
        <v>1</v>
      </c>
      <c r="J107" s="68">
        <f t="shared" si="23"/>
        <v>0</v>
      </c>
      <c r="K107" s="68">
        <f t="shared" si="22"/>
        <v>0</v>
      </c>
      <c r="L107" s="59">
        <f>(C107/10)*C96*E107/1000</f>
        <v>0</v>
      </c>
      <c r="M107" s="1"/>
    </row>
    <row r="108" spans="2:13">
      <c r="B108" s="75" t="s">
        <v>229</v>
      </c>
      <c r="C108" s="75">
        <v>0</v>
      </c>
      <c r="D108" s="1">
        <f>C108 / E92</f>
        <v>0</v>
      </c>
      <c r="E108" s="59">
        <f t="shared" si="16"/>
        <v>0</v>
      </c>
      <c r="F108" s="59">
        <f t="shared" si="17"/>
        <v>0</v>
      </c>
      <c r="G108" s="59">
        <f t="shared" si="18"/>
        <v>0</v>
      </c>
      <c r="H108" s="1">
        <f t="shared" si="19"/>
        <v>1</v>
      </c>
      <c r="I108" s="1">
        <f t="shared" si="20"/>
        <v>1</v>
      </c>
      <c r="J108" s="68">
        <f t="shared" si="23"/>
        <v>0</v>
      </c>
      <c r="K108" s="68">
        <f t="shared" si="22"/>
        <v>0</v>
      </c>
      <c r="L108" s="59">
        <f>(C108/10)*C96*E108/1000</f>
        <v>0</v>
      </c>
      <c r="M108" s="1"/>
    </row>
    <row r="109" spans="2:13">
      <c r="B109" s="60" t="s">
        <v>230</v>
      </c>
      <c r="C109" s="69">
        <f>SUM(C100:C108)</f>
        <v>38</v>
      </c>
      <c r="E109" s="61"/>
      <c r="F109" s="61"/>
      <c r="G109" s="61"/>
      <c r="J109" s="68">
        <f>SUM(J100:J108)</f>
        <v>34.58</v>
      </c>
      <c r="K109" s="68">
        <f>SUM(K100:K108)</f>
        <v>34.58</v>
      </c>
      <c r="L109" s="59">
        <f>SUM(L100:L108)</f>
        <v>3329.4768510918229</v>
      </c>
      <c r="M109" t="s">
        <v>276</v>
      </c>
    </row>
    <row r="110" spans="2:13">
      <c r="B110" s="16"/>
      <c r="C110" s="31"/>
      <c r="D110" s="61"/>
      <c r="E110" s="61"/>
      <c r="I110" s="61" t="s">
        <v>231</v>
      </c>
      <c r="J110" s="56">
        <v>1.1299999999999999</v>
      </c>
      <c r="K110" s="68"/>
      <c r="L110" s="58"/>
      <c r="M110" s="63"/>
    </row>
    <row r="111" spans="2:13">
      <c r="B111" s="60"/>
      <c r="C111" s="67"/>
      <c r="D111" s="61"/>
      <c r="E111" s="61"/>
      <c r="I111" s="61"/>
      <c r="J111" s="59">
        <f>J109*J110</f>
        <v>39.075399999999995</v>
      </c>
      <c r="K111" s="58"/>
      <c r="L111" s="59">
        <f>L109/1000</f>
        <v>3.3294768510918229</v>
      </c>
      <c r="M111" s="63" t="s">
        <v>540</v>
      </c>
    </row>
    <row r="112" spans="2:13" ht="15.75">
      <c r="B112" s="24" t="s">
        <v>245</v>
      </c>
      <c r="C112" s="19"/>
      <c r="D112" s="61"/>
      <c r="E112" s="61"/>
      <c r="J112" s="59"/>
      <c r="K112" s="58"/>
      <c r="L112" s="59"/>
      <c r="M112" s="63"/>
    </row>
    <row r="113" spans="2:19" ht="15.75">
      <c r="B113" s="64"/>
      <c r="C113" s="58"/>
      <c r="D113" s="60"/>
      <c r="E113" s="58"/>
      <c r="F113" s="58"/>
      <c r="G113" s="58"/>
      <c r="H113" s="58"/>
      <c r="I113" s="58"/>
      <c r="J113" s="63"/>
      <c r="O113" s="2" t="s">
        <v>541</v>
      </c>
      <c r="R113" t="s">
        <v>300</v>
      </c>
      <c r="S113">
        <f>IF(C114 = 0, 0, P114/P118)</f>
        <v>0</v>
      </c>
    </row>
    <row r="114" spans="2:19">
      <c r="B114" s="73" t="s">
        <v>209</v>
      </c>
      <c r="C114" s="72">
        <v>0</v>
      </c>
      <c r="D114" s="61" t="s">
        <v>210</v>
      </c>
      <c r="E114" s="58">
        <f>COS(RADIANS(C114))</f>
        <v>1</v>
      </c>
      <c r="F114" s="58" t="s">
        <v>535</v>
      </c>
      <c r="G114" s="58"/>
      <c r="H114" s="58"/>
      <c r="I114" s="58"/>
      <c r="J114" s="63"/>
      <c r="O114" s="2" t="s">
        <v>294</v>
      </c>
      <c r="P114">
        <f>C9</f>
        <v>1</v>
      </c>
      <c r="Q114" t="s">
        <v>297</v>
      </c>
      <c r="R114" t="s">
        <v>301</v>
      </c>
      <c r="S114">
        <f>IF( C114 = 0, P114, P114/P117)</f>
        <v>1</v>
      </c>
    </row>
    <row r="115" spans="2:19">
      <c r="B115" s="65" t="s">
        <v>211</v>
      </c>
      <c r="C115" s="113">
        <f>S114</f>
        <v>1</v>
      </c>
      <c r="D115" s="58" t="s">
        <v>297</v>
      </c>
      <c r="E115" s="62">
        <f>C115*100</f>
        <v>100</v>
      </c>
      <c r="F115" s="58" t="s">
        <v>212</v>
      </c>
      <c r="G115" s="58">
        <f>E115*G2</f>
        <v>39.370078700000001</v>
      </c>
      <c r="H115" s="58" t="s">
        <v>303</v>
      </c>
      <c r="I115" s="58"/>
      <c r="J115" s="63"/>
      <c r="O115" s="2" t="s">
        <v>295</v>
      </c>
      <c r="P115">
        <f>IF(C114 = 0, 0, RADIANS(90-C114))</f>
        <v>0</v>
      </c>
      <c r="Q115" t="s">
        <v>296</v>
      </c>
    </row>
    <row r="116" spans="2:19">
      <c r="B116" s="65" t="s">
        <v>542</v>
      </c>
      <c r="C116" s="113">
        <f>C2 - (C72 + C200) / 1000</f>
        <v>6.2109999999999994</v>
      </c>
      <c r="D116" s="58" t="s">
        <v>297</v>
      </c>
      <c r="E116" s="62">
        <f t="shared" ref="E116" si="24">C116*100</f>
        <v>621.09999999999991</v>
      </c>
      <c r="F116" s="58" t="s">
        <v>212</v>
      </c>
      <c r="G116" s="58">
        <f>E116*G2</f>
        <v>244.52755880569995</v>
      </c>
      <c r="H116" s="58" t="s">
        <v>303</v>
      </c>
      <c r="I116" s="58"/>
      <c r="J116" s="63"/>
      <c r="O116" s="2"/>
    </row>
    <row r="117" spans="2:19">
      <c r="B117" s="65" t="s">
        <v>543</v>
      </c>
      <c r="C117" s="113">
        <f>C18 - (C72 + C200) / 1000</f>
        <v>4.7284390314872589</v>
      </c>
      <c r="D117" s="58" t="s">
        <v>297</v>
      </c>
      <c r="E117" s="62">
        <f>C117*100</f>
        <v>472.84390314872587</v>
      </c>
      <c r="F117" s="58" t="s">
        <v>212</v>
      </c>
      <c r="G117" s="58">
        <f>E117*G2</f>
        <v>186.15901679780515</v>
      </c>
      <c r="H117" s="58" t="s">
        <v>303</v>
      </c>
      <c r="I117" s="58"/>
      <c r="J117" s="63"/>
      <c r="O117" s="2" t="s">
        <v>298</v>
      </c>
      <c r="P117">
        <f>SIN(P115)</f>
        <v>0</v>
      </c>
    </row>
    <row r="118" spans="2:19">
      <c r="B118" s="65" t="s">
        <v>215</v>
      </c>
      <c r="C118" s="66">
        <f xml:space="preserve"> (E116+E117) * E115</f>
        <v>109394.39031487259</v>
      </c>
      <c r="D118" s="58" t="s">
        <v>216</v>
      </c>
      <c r="E118" s="62"/>
      <c r="F118" s="58"/>
      <c r="G118" s="58">
        <f>C118*G2^2</f>
        <v>16956.164376543496</v>
      </c>
      <c r="H118" s="58" t="s">
        <v>538</v>
      </c>
      <c r="I118" s="58"/>
      <c r="J118" s="63"/>
      <c r="O118" s="2" t="s">
        <v>299</v>
      </c>
      <c r="P118">
        <f>TAN(P115)</f>
        <v>0</v>
      </c>
    </row>
    <row r="119" spans="2:19">
      <c r="B119" s="65" t="s">
        <v>217</v>
      </c>
      <c r="C119" s="62">
        <f>(C118/ 100^2) * (C131 / 1000)</f>
        <v>0.41569868319651582</v>
      </c>
      <c r="D119" s="58" t="s">
        <v>218</v>
      </c>
      <c r="E119" s="58"/>
      <c r="F119" s="58"/>
      <c r="G119" s="58">
        <f>C119*G3^3</f>
        <v>14.680260520588615</v>
      </c>
      <c r="H119" s="58" t="s">
        <v>539</v>
      </c>
      <c r="I119" s="58"/>
      <c r="J119" s="63"/>
    </row>
    <row r="120" spans="2:19">
      <c r="B120" s="58"/>
      <c r="C120" s="58"/>
      <c r="D120" s="58"/>
      <c r="E120" s="58"/>
      <c r="F120" s="58"/>
      <c r="G120" s="58"/>
      <c r="H120" s="58"/>
      <c r="I120" s="58"/>
      <c r="J120" s="58"/>
    </row>
    <row r="121" spans="2:19">
      <c r="B121" s="67" t="s">
        <v>243</v>
      </c>
      <c r="C121" s="61" t="s">
        <v>219</v>
      </c>
      <c r="D121" s="76" t="s">
        <v>534</v>
      </c>
      <c r="E121" s="61" t="s">
        <v>220</v>
      </c>
      <c r="F121" s="67" t="s">
        <v>221</v>
      </c>
      <c r="G121" s="67" t="s">
        <v>222</v>
      </c>
      <c r="H121" s="76" t="s">
        <v>536</v>
      </c>
      <c r="I121" s="76" t="s">
        <v>537</v>
      </c>
      <c r="J121" s="59" t="s">
        <v>223</v>
      </c>
      <c r="K121" s="59" t="s">
        <v>224</v>
      </c>
      <c r="L121" s="59" t="s">
        <v>225</v>
      </c>
      <c r="M121" s="74"/>
    </row>
    <row r="122" spans="2:19">
      <c r="B122" s="56" t="s">
        <v>1021</v>
      </c>
      <c r="C122" s="56">
        <v>38</v>
      </c>
      <c r="D122" s="1">
        <f>C122 / E114</f>
        <v>38</v>
      </c>
      <c r="E122" s="59">
        <f t="shared" ref="E122:E130" si="25">LOOKUP(B122, ArmorNames, ArmorDensity)</f>
        <v>7.86</v>
      </c>
      <c r="F122" s="59">
        <f t="shared" ref="F122:F130" si="26">LOOKUP(B122, ArmorNames, ArmorKE)</f>
        <v>0.91</v>
      </c>
      <c r="G122" s="59">
        <f t="shared" ref="G122:G130" si="27">LOOKUP(B122, ArmorNames, ArmorHEAT)</f>
        <v>0.91</v>
      </c>
      <c r="H122" s="1">
        <f t="shared" ref="H122:H130" si="28">IF(D122 &gt; 0, IF(LOOKUP(B122,ArmorNames,ArmorModifier) = 1, 1, 3.4383*EXP(-0.006*D122)), 1)</f>
        <v>1</v>
      </c>
      <c r="I122" s="1">
        <f t="shared" ref="I122:I130" si="29">IF(D122&gt;0, IF(LOOKUP(B122,ArmorNames,ArmorModifier)=1, 1, 7.8657*EXP(-0.009*D122)), 1)</f>
        <v>1</v>
      </c>
      <c r="J122" s="68">
        <f>D122 * F122 * H122</f>
        <v>34.58</v>
      </c>
      <c r="K122" s="68">
        <f>D122 * G122 * I122</f>
        <v>34.58</v>
      </c>
      <c r="L122" s="59">
        <f>(C122/10)*C118*E122/1000</f>
        <v>3267.3916499246143</v>
      </c>
      <c r="M122" s="1"/>
    </row>
    <row r="123" spans="2:19">
      <c r="B123" s="56" t="s">
        <v>229</v>
      </c>
      <c r="C123" s="56">
        <v>0</v>
      </c>
      <c r="D123" s="1">
        <f>C123 / E114</f>
        <v>0</v>
      </c>
      <c r="E123" s="59">
        <f t="shared" si="25"/>
        <v>0</v>
      </c>
      <c r="F123" s="59">
        <f t="shared" si="26"/>
        <v>0</v>
      </c>
      <c r="G123" s="59">
        <f t="shared" si="27"/>
        <v>0</v>
      </c>
      <c r="H123" s="1">
        <f t="shared" si="28"/>
        <v>1</v>
      </c>
      <c r="I123" s="1">
        <f t="shared" si="29"/>
        <v>1</v>
      </c>
      <c r="J123" s="68">
        <f t="shared" ref="J123:J130" si="30">D123 * F123 * H123</f>
        <v>0</v>
      </c>
      <c r="K123" s="68">
        <f t="shared" ref="K123:K130" si="31">D123 * G123 * I123</f>
        <v>0</v>
      </c>
      <c r="L123" s="59">
        <f>(C123/10)*C118*E123/1000</f>
        <v>0</v>
      </c>
      <c r="M123" s="1"/>
    </row>
    <row r="124" spans="2:19">
      <c r="B124" s="75" t="s">
        <v>229</v>
      </c>
      <c r="C124" s="56">
        <v>0</v>
      </c>
      <c r="D124" s="1">
        <f>C124 / E114</f>
        <v>0</v>
      </c>
      <c r="E124" s="59">
        <f t="shared" si="25"/>
        <v>0</v>
      </c>
      <c r="F124" s="59">
        <f t="shared" si="26"/>
        <v>0</v>
      </c>
      <c r="G124" s="59">
        <f t="shared" si="27"/>
        <v>0</v>
      </c>
      <c r="H124" s="1">
        <f t="shared" si="28"/>
        <v>1</v>
      </c>
      <c r="I124" s="1">
        <f t="shared" si="29"/>
        <v>1</v>
      </c>
      <c r="J124" s="68">
        <f t="shared" si="30"/>
        <v>0</v>
      </c>
      <c r="K124" s="68">
        <f t="shared" si="31"/>
        <v>0</v>
      </c>
      <c r="L124" s="59">
        <f>(C124/10)*C118*E124/1000</f>
        <v>0</v>
      </c>
      <c r="M124" s="1"/>
    </row>
    <row r="125" spans="2:19">
      <c r="B125" s="56" t="s">
        <v>229</v>
      </c>
      <c r="C125" s="56">
        <v>0</v>
      </c>
      <c r="D125" s="1">
        <f>C125 / E114</f>
        <v>0</v>
      </c>
      <c r="E125" s="59">
        <f t="shared" si="25"/>
        <v>0</v>
      </c>
      <c r="F125" s="59">
        <f t="shared" si="26"/>
        <v>0</v>
      </c>
      <c r="G125" s="59">
        <f t="shared" si="27"/>
        <v>0</v>
      </c>
      <c r="H125" s="1">
        <f t="shared" si="28"/>
        <v>1</v>
      </c>
      <c r="I125" s="1">
        <f t="shared" si="29"/>
        <v>1</v>
      </c>
      <c r="J125" s="68">
        <f t="shared" si="30"/>
        <v>0</v>
      </c>
      <c r="K125" s="68">
        <f t="shared" si="31"/>
        <v>0</v>
      </c>
      <c r="L125" s="59">
        <f>(C125/10)*C118*E125/1000</f>
        <v>0</v>
      </c>
      <c r="M125" s="1"/>
    </row>
    <row r="126" spans="2:19">
      <c r="B126" s="56" t="s">
        <v>229</v>
      </c>
      <c r="C126" s="56">
        <v>0</v>
      </c>
      <c r="D126" s="1">
        <f>C126 / E114</f>
        <v>0</v>
      </c>
      <c r="E126" s="59">
        <f t="shared" si="25"/>
        <v>0</v>
      </c>
      <c r="F126" s="59">
        <f t="shared" si="26"/>
        <v>0</v>
      </c>
      <c r="G126" s="59">
        <f t="shared" si="27"/>
        <v>0</v>
      </c>
      <c r="H126" s="1">
        <f t="shared" si="28"/>
        <v>1</v>
      </c>
      <c r="I126" s="1">
        <f t="shared" si="29"/>
        <v>1</v>
      </c>
      <c r="J126" s="68">
        <f t="shared" si="30"/>
        <v>0</v>
      </c>
      <c r="K126" s="68">
        <f t="shared" si="31"/>
        <v>0</v>
      </c>
      <c r="L126" s="59">
        <f>(C126/10)*C118*E126/1000</f>
        <v>0</v>
      </c>
      <c r="M126" s="1"/>
    </row>
    <row r="127" spans="2:19">
      <c r="B127" s="56" t="s">
        <v>229</v>
      </c>
      <c r="C127" s="56">
        <v>0</v>
      </c>
      <c r="D127" s="1">
        <f>C127 / E114</f>
        <v>0</v>
      </c>
      <c r="E127" s="59">
        <f t="shared" si="25"/>
        <v>0</v>
      </c>
      <c r="F127" s="59">
        <f t="shared" si="26"/>
        <v>0</v>
      </c>
      <c r="G127" s="59">
        <f t="shared" si="27"/>
        <v>0</v>
      </c>
      <c r="H127" s="1">
        <f t="shared" si="28"/>
        <v>1</v>
      </c>
      <c r="I127" s="1">
        <f t="shared" si="29"/>
        <v>1</v>
      </c>
      <c r="J127" s="68">
        <f t="shared" si="30"/>
        <v>0</v>
      </c>
      <c r="K127" s="68">
        <f t="shared" si="31"/>
        <v>0</v>
      </c>
      <c r="L127" s="59">
        <f>(C127/10)*C118*E127/1000</f>
        <v>0</v>
      </c>
      <c r="M127" s="1"/>
    </row>
    <row r="128" spans="2:19">
      <c r="B128" s="56" t="s">
        <v>229</v>
      </c>
      <c r="C128" s="56">
        <v>0</v>
      </c>
      <c r="D128" s="1">
        <f>C128 / E114</f>
        <v>0</v>
      </c>
      <c r="E128" s="59">
        <f t="shared" si="25"/>
        <v>0</v>
      </c>
      <c r="F128" s="59">
        <f t="shared" si="26"/>
        <v>0</v>
      </c>
      <c r="G128" s="59">
        <f t="shared" si="27"/>
        <v>0</v>
      </c>
      <c r="H128" s="1">
        <f t="shared" si="28"/>
        <v>1</v>
      </c>
      <c r="I128" s="1">
        <f t="shared" si="29"/>
        <v>1</v>
      </c>
      <c r="J128" s="68">
        <f t="shared" si="30"/>
        <v>0</v>
      </c>
      <c r="K128" s="68">
        <f t="shared" si="31"/>
        <v>0</v>
      </c>
      <c r="L128" s="59">
        <f>(C128/10)*C118*E128/1000</f>
        <v>0</v>
      </c>
      <c r="M128" s="1"/>
    </row>
    <row r="129" spans="2:13">
      <c r="B129" s="56" t="s">
        <v>229</v>
      </c>
      <c r="C129" s="56">
        <v>0</v>
      </c>
      <c r="D129" s="1">
        <f>C129 / E114</f>
        <v>0</v>
      </c>
      <c r="E129" s="59">
        <f t="shared" si="25"/>
        <v>0</v>
      </c>
      <c r="F129" s="59">
        <f t="shared" si="26"/>
        <v>0</v>
      </c>
      <c r="G129" s="59">
        <f t="shared" si="27"/>
        <v>0</v>
      </c>
      <c r="H129" s="1">
        <f t="shared" si="28"/>
        <v>1</v>
      </c>
      <c r="I129" s="1">
        <f t="shared" si="29"/>
        <v>1</v>
      </c>
      <c r="J129" s="68">
        <f t="shared" si="30"/>
        <v>0</v>
      </c>
      <c r="K129" s="68">
        <f t="shared" si="31"/>
        <v>0</v>
      </c>
      <c r="L129" s="59">
        <f>(C129/10)*C118*E129/1000</f>
        <v>0</v>
      </c>
      <c r="M129" s="1"/>
    </row>
    <row r="130" spans="2:13">
      <c r="B130" s="75" t="s">
        <v>229</v>
      </c>
      <c r="C130" s="75">
        <v>0</v>
      </c>
      <c r="D130" s="1">
        <f>C130 / E114</f>
        <v>0</v>
      </c>
      <c r="E130" s="59">
        <f t="shared" si="25"/>
        <v>0</v>
      </c>
      <c r="F130" s="59">
        <f t="shared" si="26"/>
        <v>0</v>
      </c>
      <c r="G130" s="59">
        <f t="shared" si="27"/>
        <v>0</v>
      </c>
      <c r="H130" s="1">
        <f t="shared" si="28"/>
        <v>1</v>
      </c>
      <c r="I130" s="1">
        <f t="shared" si="29"/>
        <v>1</v>
      </c>
      <c r="J130" s="68">
        <f t="shared" si="30"/>
        <v>0</v>
      </c>
      <c r="K130" s="68">
        <f t="shared" si="31"/>
        <v>0</v>
      </c>
      <c r="L130" s="59">
        <f>(C130/10)*C118*E130/1000</f>
        <v>0</v>
      </c>
      <c r="M130" s="1"/>
    </row>
    <row r="131" spans="2:13">
      <c r="B131" s="60" t="s">
        <v>230</v>
      </c>
      <c r="C131" s="69">
        <f>SUM(C122:C130)</f>
        <v>38</v>
      </c>
      <c r="E131" s="61"/>
      <c r="F131" s="61"/>
      <c r="G131" s="61"/>
      <c r="J131" s="68">
        <f>SUM(J122:J130)</f>
        <v>34.58</v>
      </c>
      <c r="K131" s="68">
        <f>SUM(K122:K130)</f>
        <v>34.58</v>
      </c>
      <c r="L131" s="59">
        <f>SUM(L122:L130)</f>
        <v>3267.3916499246143</v>
      </c>
      <c r="M131" t="s">
        <v>276</v>
      </c>
    </row>
    <row r="132" spans="2:13">
      <c r="B132" s="60"/>
      <c r="C132" s="67"/>
      <c r="D132" s="61"/>
      <c r="E132" s="61"/>
      <c r="I132" s="61" t="s">
        <v>231</v>
      </c>
      <c r="J132" s="56">
        <v>1.1299999999999999</v>
      </c>
      <c r="K132" s="68"/>
      <c r="L132" s="58"/>
      <c r="M132" s="63"/>
    </row>
    <row r="133" spans="2:13">
      <c r="B133" s="60"/>
      <c r="C133" s="67"/>
      <c r="D133" s="61"/>
      <c r="E133" s="61"/>
      <c r="I133" s="61"/>
      <c r="J133" s="59">
        <f>J131*J132</f>
        <v>39.075399999999995</v>
      </c>
      <c r="K133" s="58"/>
      <c r="L133" s="59">
        <f>L131/1000</f>
        <v>3.2673916499246145</v>
      </c>
      <c r="M133" s="63" t="s">
        <v>540</v>
      </c>
    </row>
    <row r="134" spans="2:13" ht="15.75" thickBot="1">
      <c r="B134" s="35"/>
      <c r="C134" s="35"/>
      <c r="D134" s="35"/>
      <c r="E134" s="35"/>
      <c r="F134" s="35"/>
      <c r="G134" s="35"/>
      <c r="H134" s="35"/>
      <c r="I134" s="35"/>
      <c r="J134" s="35"/>
    </row>
    <row r="135" spans="2:13" ht="15.75" thickTop="1">
      <c r="B135" s="16"/>
      <c r="C135" s="19"/>
      <c r="D135" s="19"/>
      <c r="E135" s="19"/>
      <c r="F135" s="19"/>
      <c r="G135" s="14"/>
      <c r="H135" s="14"/>
      <c r="I135" s="14"/>
      <c r="J135" s="23"/>
    </row>
    <row r="136" spans="2:13" ht="15.75">
      <c r="B136" s="24" t="s">
        <v>247</v>
      </c>
      <c r="C136" s="34"/>
      <c r="D136" s="39"/>
      <c r="E136" s="14"/>
      <c r="F136" s="19"/>
      <c r="G136" s="14"/>
      <c r="H136" s="14"/>
      <c r="I136" s="14"/>
      <c r="J136" s="23"/>
    </row>
    <row r="137" spans="2:13">
      <c r="B137" s="70" t="s">
        <v>544</v>
      </c>
      <c r="C137" s="80">
        <v>0</v>
      </c>
      <c r="D137" s="71" t="s">
        <v>191</v>
      </c>
      <c r="E137" s="58"/>
      <c r="F137" s="61"/>
      <c r="G137" s="58"/>
      <c r="H137" s="58"/>
      <c r="I137" s="58"/>
      <c r="J137" s="63"/>
    </row>
    <row r="138" spans="2:13" ht="15.75">
      <c r="B138" s="64"/>
      <c r="C138" s="69" t="s">
        <v>234</v>
      </c>
      <c r="D138" s="71">
        <f xml:space="preserve"> C2 * C4 * C137 * 100^2 * 2</f>
        <v>0</v>
      </c>
      <c r="E138" s="58"/>
      <c r="F138" s="61"/>
      <c r="G138" s="58"/>
      <c r="H138" s="58"/>
      <c r="I138" s="58"/>
      <c r="J138" s="63"/>
    </row>
    <row r="139" spans="2:13">
      <c r="B139" s="28"/>
      <c r="C139" s="19" t="s">
        <v>219</v>
      </c>
      <c r="D139" s="76"/>
      <c r="E139" s="61" t="s">
        <v>220</v>
      </c>
      <c r="F139" s="67" t="s">
        <v>221</v>
      </c>
      <c r="G139" s="67" t="s">
        <v>222</v>
      </c>
      <c r="H139" s="76" t="s">
        <v>536</v>
      </c>
      <c r="I139" s="76" t="s">
        <v>537</v>
      </c>
      <c r="J139" s="59" t="s">
        <v>223</v>
      </c>
      <c r="K139" s="15" t="s">
        <v>224</v>
      </c>
      <c r="L139" s="15" t="s">
        <v>225</v>
      </c>
    </row>
    <row r="140" spans="2:13">
      <c r="B140" s="56" t="s">
        <v>996</v>
      </c>
      <c r="C140" s="56">
        <v>0</v>
      </c>
      <c r="D140" s="1"/>
      <c r="E140" s="59">
        <f>LOOKUP(B140, ArmorNames, ArmorDensity)</f>
        <v>7.86</v>
      </c>
      <c r="F140" s="59">
        <f>LOOKUP(B140, ArmorNames, ArmorKE)</f>
        <v>1.1499999999999999</v>
      </c>
      <c r="G140" s="59">
        <f>LOOKUP(B140, ArmorNames, ArmorHEAT)</f>
        <v>1.1000000000000001</v>
      </c>
      <c r="H140" s="1">
        <f>IF(C140 &gt; 0, IF(LOOKUP(B140,ArmorNames,ArmorModifier) = 1, 1, 3.4383*EXP(-0.006*C140)), 1)</f>
        <v>1</v>
      </c>
      <c r="I140" s="1">
        <f>IF(C140&gt;0, IF(LOOKUP(B140,ArmorNames,ArmorModifier)=1, 1, 7.8657*EXP(-0.009*C140)), 1)</f>
        <v>1</v>
      </c>
      <c r="J140" s="33">
        <f>C140 * F140 * H140</f>
        <v>0</v>
      </c>
      <c r="K140" s="33">
        <f xml:space="preserve"> C140 * G140 * I140</f>
        <v>0</v>
      </c>
      <c r="L140" s="15">
        <f xml:space="preserve"> (C140 / 10) *E140 * D138 / 1000</f>
        <v>0</v>
      </c>
    </row>
    <row r="141" spans="2:13">
      <c r="B141" s="56" t="s">
        <v>229</v>
      </c>
      <c r="C141" s="56">
        <v>0</v>
      </c>
      <c r="D141" s="1"/>
      <c r="E141" s="59">
        <f>LOOKUP(B141, ArmorNames, ArmorDensity)</f>
        <v>0</v>
      </c>
      <c r="F141" s="59">
        <f>LOOKUP(B141, ArmorNames, ArmorKE)</f>
        <v>0</v>
      </c>
      <c r="G141" s="59">
        <f>LOOKUP(B141, ArmorNames, ArmorHEAT)</f>
        <v>0</v>
      </c>
      <c r="H141" s="1">
        <f>IF(C141 &gt; 0, IF(LOOKUP(B141,ArmorNames,ArmorModifier) = 1, 1, 3.4383*EXP(-0.006*C141)), 1)</f>
        <v>1</v>
      </c>
      <c r="I141" s="1">
        <f>IF(C141&gt;0, IF(LOOKUP(B141,ArmorNames,ArmorModifier)=1, 1, 7.8657*EXP(-0.009*C141)), 1)</f>
        <v>1</v>
      </c>
      <c r="J141" s="68">
        <f t="shared" ref="J141:J144" si="32">C141 * F141 * H141</f>
        <v>0</v>
      </c>
      <c r="K141" s="68">
        <f xml:space="preserve"> C141 * G141 * I141</f>
        <v>0</v>
      </c>
      <c r="L141" s="15">
        <f xml:space="preserve"> (C141 / 10) * E141 * D138 / 1000</f>
        <v>0</v>
      </c>
    </row>
    <row r="142" spans="2:13">
      <c r="B142" s="56" t="s">
        <v>229</v>
      </c>
      <c r="C142" s="56">
        <v>0</v>
      </c>
      <c r="D142" s="1"/>
      <c r="E142" s="59">
        <f>LOOKUP(B142, ArmorNames, ArmorDensity)</f>
        <v>0</v>
      </c>
      <c r="F142" s="59">
        <f>LOOKUP(B142, ArmorNames, ArmorKE)</f>
        <v>0</v>
      </c>
      <c r="G142" s="59">
        <f>LOOKUP(B142, ArmorNames, ArmorHEAT)</f>
        <v>0</v>
      </c>
      <c r="H142" s="1">
        <f>IF(C142 &gt; 0, IF(LOOKUP(B142,ArmorNames,ArmorModifier) = 1, 1, 3.4383*EXP(-0.006*C142)), 1)</f>
        <v>1</v>
      </c>
      <c r="I142" s="1">
        <f>IF(C142&gt;0, IF(LOOKUP(B142,ArmorNames,ArmorModifier)=1, 1, 7.8657*EXP(-0.009*C142)), 1)</f>
        <v>1</v>
      </c>
      <c r="J142" s="68">
        <f t="shared" si="32"/>
        <v>0</v>
      </c>
      <c r="K142" s="68">
        <f t="shared" ref="K142:K144" si="33" xml:space="preserve"> C142 * G142 * I142</f>
        <v>0</v>
      </c>
      <c r="L142" s="15">
        <f xml:space="preserve"> (C142 / 2) * E142 * D138 / 1000</f>
        <v>0</v>
      </c>
    </row>
    <row r="143" spans="2:13">
      <c r="B143" s="56" t="s">
        <v>229</v>
      </c>
      <c r="C143" s="56">
        <v>0</v>
      </c>
      <c r="D143" s="1"/>
      <c r="E143" s="59">
        <f>LOOKUP(B143, ArmorNames, ArmorDensity)</f>
        <v>0</v>
      </c>
      <c r="F143" s="59">
        <f>LOOKUP(B143, ArmorNames, ArmorKE)</f>
        <v>0</v>
      </c>
      <c r="G143" s="59">
        <f>LOOKUP(B143, ArmorNames, ArmorHEAT)</f>
        <v>0</v>
      </c>
      <c r="H143" s="1">
        <f>IF(C143 &gt; 0, IF(LOOKUP(B143,ArmorNames,ArmorModifier) = 1, 1, 3.4383*EXP(-0.006*C143)), 1)</f>
        <v>1</v>
      </c>
      <c r="I143" s="1">
        <f>IF(C143&gt;0, IF(LOOKUP(B143,ArmorNames,ArmorModifier)=1, 1, 7.8657*EXP(-0.009*C143)), 1)</f>
        <v>1</v>
      </c>
      <c r="J143" s="68">
        <f t="shared" si="32"/>
        <v>0</v>
      </c>
      <c r="K143" s="68">
        <f t="shared" si="33"/>
        <v>0</v>
      </c>
      <c r="L143" s="59">
        <f xml:space="preserve"> (C143 / 2) * E143 * D138 / 1000</f>
        <v>0</v>
      </c>
    </row>
    <row r="144" spans="2:13">
      <c r="B144" s="56" t="s">
        <v>229</v>
      </c>
      <c r="C144" s="56">
        <v>0</v>
      </c>
      <c r="D144" s="1"/>
      <c r="E144" s="59">
        <f>LOOKUP(B144, ArmorNames, ArmorDensity)</f>
        <v>0</v>
      </c>
      <c r="F144" s="59">
        <f>LOOKUP(B144, ArmorNames, ArmorKE)</f>
        <v>0</v>
      </c>
      <c r="G144" s="59">
        <f>LOOKUP(B144, ArmorNames, ArmorHEAT)</f>
        <v>0</v>
      </c>
      <c r="H144" s="1">
        <f>IF(C144 &gt; 0, IF(LOOKUP(B144,ArmorNames,ArmorModifier) = 1, 1, 3.4383*EXP(-0.006*C144)), 1)</f>
        <v>1</v>
      </c>
      <c r="I144" s="1">
        <f>IF(C144&gt;0, IF(LOOKUP(B144,ArmorNames,ArmorModifier)=1, 1, 7.8657*EXP(-0.009*C144)), 1)</f>
        <v>1</v>
      </c>
      <c r="J144" s="68">
        <f t="shared" si="32"/>
        <v>0</v>
      </c>
      <c r="K144" s="68">
        <f t="shared" si="33"/>
        <v>0</v>
      </c>
      <c r="L144" s="59">
        <f xml:space="preserve"> (C144 / 2) * E144 * D138 / 1000</f>
        <v>0</v>
      </c>
    </row>
    <row r="145" spans="2:19">
      <c r="B145" s="56">
        <v>1.1299999999999999</v>
      </c>
      <c r="C145" s="34">
        <f>SUM(C140:C144)</f>
        <v>0</v>
      </c>
      <c r="I145" s="14"/>
      <c r="J145" s="69">
        <f t="shared" ref="J145:L145" si="34">SUM(J140:J142)</f>
        <v>0</v>
      </c>
      <c r="K145" s="69">
        <f t="shared" si="34"/>
        <v>0</v>
      </c>
      <c r="L145" s="69">
        <f t="shared" si="34"/>
        <v>0</v>
      </c>
      <c r="M145" t="s">
        <v>276</v>
      </c>
    </row>
    <row r="146" spans="2:19">
      <c r="B146" s="16" t="s">
        <v>834</v>
      </c>
      <c r="C146" s="34">
        <f>IF(C145&gt;0, IF(TrackNumber &gt; 2, (TrackWidth + (12.5 * TrackNumber)) * 1.13 * (TrackNumber / 2), TrackWidth*1.13), 0)</f>
        <v>0</v>
      </c>
      <c r="I146" s="14"/>
      <c r="J146" s="14"/>
      <c r="K146" s="34">
        <f>C146*0.25</f>
        <v>0</v>
      </c>
      <c r="L146" s="14"/>
    </row>
    <row r="147" spans="2:19">
      <c r="B147" s="16"/>
      <c r="C147" s="14"/>
      <c r="I147" s="14" t="s">
        <v>248</v>
      </c>
      <c r="J147" s="84">
        <f xml:space="preserve"> B145 * J145</f>
        <v>0</v>
      </c>
      <c r="K147" s="34">
        <f>K145+K146</f>
        <v>0</v>
      </c>
      <c r="L147" s="84">
        <f>L145/1000</f>
        <v>0</v>
      </c>
      <c r="M147" t="s">
        <v>540</v>
      </c>
    </row>
    <row r="148" spans="2:19" ht="15.75">
      <c r="B148" s="24" t="s">
        <v>249</v>
      </c>
      <c r="C148" s="19"/>
      <c r="D148" s="19"/>
      <c r="E148" s="19"/>
      <c r="F148" s="14"/>
      <c r="G148" s="14"/>
      <c r="H148" s="14"/>
      <c r="I148" s="14"/>
      <c r="J148" s="23"/>
    </row>
    <row r="149" spans="2:19">
      <c r="C149" s="34" t="s">
        <v>250</v>
      </c>
      <c r="D149" s="34" t="s">
        <v>171</v>
      </c>
      <c r="E149" s="34" t="s">
        <v>172</v>
      </c>
      <c r="F149" s="19"/>
      <c r="H149" s="14"/>
      <c r="I149" s="14"/>
      <c r="J149" s="23"/>
    </row>
    <row r="150" spans="2:19">
      <c r="B150" s="2" t="s">
        <v>235</v>
      </c>
      <c r="C150" s="37">
        <f xml:space="preserve"> C96</f>
        <v>111473.04309266851</v>
      </c>
      <c r="D150" s="48">
        <f xml:space="preserve"> J111</f>
        <v>39.075399999999995</v>
      </c>
      <c r="E150" s="48">
        <f xml:space="preserve"> K109</f>
        <v>34.58</v>
      </c>
      <c r="F150" s="19"/>
      <c r="H150" s="14"/>
      <c r="I150" s="14"/>
      <c r="J150" s="23"/>
    </row>
    <row r="151" spans="2:19">
      <c r="B151" s="2" t="s">
        <v>545</v>
      </c>
      <c r="C151" s="37">
        <f xml:space="preserve"> C118</f>
        <v>109394.39031487259</v>
      </c>
      <c r="D151" s="48">
        <f xml:space="preserve"> J133</f>
        <v>39.075399999999995</v>
      </c>
      <c r="E151" s="48">
        <f xml:space="preserve"> K131</f>
        <v>34.58</v>
      </c>
      <c r="F151" s="19"/>
      <c r="H151" s="14"/>
      <c r="I151" s="14"/>
      <c r="J151" s="23"/>
    </row>
    <row r="152" spans="2:19">
      <c r="B152" s="81" t="s">
        <v>546</v>
      </c>
      <c r="C152" s="38">
        <f xml:space="preserve"> SUM(C150:C151)</f>
        <v>220867.4334075411</v>
      </c>
      <c r="D152" s="49">
        <f xml:space="preserve"> ((C150 * D150) + (C151 * D151)) / (C150 + C151)</f>
        <v>39.075400000000002</v>
      </c>
      <c r="E152" s="49">
        <f xml:space="preserve"> ((C150 * E150) + (C151 * E151)) / (C150 + C151)</f>
        <v>34.58</v>
      </c>
      <c r="F152" s="16" t="s">
        <v>251</v>
      </c>
      <c r="H152" s="14"/>
      <c r="I152" s="14"/>
      <c r="J152" s="23"/>
    </row>
    <row r="153" spans="2:19">
      <c r="C153" s="14"/>
      <c r="D153" s="48">
        <f xml:space="preserve"> J147 + D152</f>
        <v>39.075400000000002</v>
      </c>
      <c r="E153" s="48">
        <f xml:space="preserve"> K147 + E152</f>
        <v>34.58</v>
      </c>
      <c r="F153" s="16" t="s">
        <v>252</v>
      </c>
      <c r="H153" s="14"/>
      <c r="I153" s="14"/>
      <c r="J153" s="23"/>
    </row>
    <row r="154" spans="2:19" ht="15.75">
      <c r="C154" s="24"/>
      <c r="D154" s="19"/>
      <c r="E154" s="19"/>
      <c r="F154" s="19"/>
      <c r="G154" s="14"/>
      <c r="H154" s="14"/>
      <c r="I154" s="14"/>
      <c r="J154" s="23"/>
    </row>
    <row r="155" spans="2:19">
      <c r="C155" s="25" t="s">
        <v>253</v>
      </c>
      <c r="D155" s="34">
        <f xml:space="preserve"> L111 + L133 + L147</f>
        <v>6.5968685010164378</v>
      </c>
      <c r="E155" s="23" t="s">
        <v>840</v>
      </c>
      <c r="F155" s="14"/>
      <c r="G155" s="19"/>
      <c r="H155" s="14"/>
      <c r="I155" s="14"/>
      <c r="J155" s="23"/>
    </row>
    <row r="156" spans="2:19" ht="15.75" thickBot="1">
      <c r="B156" s="35"/>
      <c r="C156" s="35"/>
      <c r="D156" s="35"/>
      <c r="E156" s="35"/>
      <c r="F156" s="35"/>
      <c r="G156" s="35"/>
      <c r="H156" s="35"/>
      <c r="I156" s="35"/>
      <c r="J156" s="35"/>
    </row>
    <row r="157" spans="2:19" ht="15.75" thickTop="1">
      <c r="B157" s="16"/>
      <c r="C157" s="19"/>
      <c r="D157" s="19"/>
      <c r="E157" s="19"/>
      <c r="F157" s="19"/>
      <c r="G157" s="14"/>
      <c r="H157" s="14"/>
      <c r="I157" s="14"/>
      <c r="J157" s="23"/>
    </row>
    <row r="158" spans="2:19" ht="15.75">
      <c r="B158" s="24" t="s">
        <v>254</v>
      </c>
      <c r="C158" s="19"/>
      <c r="D158" s="19"/>
      <c r="E158" s="19"/>
      <c r="F158" s="19"/>
      <c r="G158" s="14"/>
      <c r="H158" s="14"/>
      <c r="I158" s="14"/>
      <c r="J158" s="14"/>
    </row>
    <row r="159" spans="2:19">
      <c r="B159" s="19"/>
      <c r="C159" s="19"/>
      <c r="D159" s="19"/>
      <c r="E159" s="19"/>
      <c r="F159" s="19"/>
      <c r="G159" s="14"/>
      <c r="H159" s="14"/>
      <c r="I159" s="14"/>
      <c r="J159" s="14"/>
      <c r="O159" s="2" t="s">
        <v>578</v>
      </c>
      <c r="R159" t="s">
        <v>300</v>
      </c>
      <c r="S159">
        <f>IF(C160 = 0, 0, P160/P164)</f>
        <v>0.17632698070846506</v>
      </c>
    </row>
    <row r="160" spans="2:19">
      <c r="B160" s="36" t="s">
        <v>209</v>
      </c>
      <c r="C160" s="115">
        <v>10</v>
      </c>
      <c r="D160" s="19" t="s">
        <v>210</v>
      </c>
      <c r="E160" s="85">
        <f xml:space="preserve"> COS(RADIANS(C160))</f>
        <v>0.98480775301220802</v>
      </c>
      <c r="F160" s="85" t="s">
        <v>577</v>
      </c>
      <c r="G160" s="14"/>
      <c r="H160" s="14"/>
      <c r="I160" s="14"/>
      <c r="J160" s="14"/>
      <c r="O160" s="2" t="s">
        <v>294</v>
      </c>
      <c r="P160">
        <f>C8</f>
        <v>1</v>
      </c>
      <c r="Q160" t="s">
        <v>297</v>
      </c>
      <c r="R160" t="s">
        <v>301</v>
      </c>
      <c r="S160">
        <f>IF( C160 = 0, P160, P160/P163)</f>
        <v>1.0154266118857451</v>
      </c>
    </row>
    <row r="161" spans="2:17">
      <c r="B161" s="28" t="s">
        <v>211</v>
      </c>
      <c r="C161" s="43">
        <f xml:space="preserve"> S160</f>
        <v>1.0154266118857451</v>
      </c>
      <c r="D161" s="41" t="s">
        <v>297</v>
      </c>
      <c r="E161" s="97">
        <f>C161 * 100</f>
        <v>101.54266118857451</v>
      </c>
      <c r="F161" s="102" t="s">
        <v>212</v>
      </c>
      <c r="G161" s="83">
        <f>E161*G2</f>
        <v>39.977425624016142</v>
      </c>
      <c r="H161" s="83" t="s">
        <v>303</v>
      </c>
      <c r="I161" s="14"/>
      <c r="J161" s="14"/>
      <c r="O161" s="2" t="s">
        <v>295</v>
      </c>
      <c r="P161">
        <f>IF(C160 = 0, 0, RADIANS(90-C160))</f>
        <v>1.3962634015954636</v>
      </c>
      <c r="Q161" t="s">
        <v>296</v>
      </c>
    </row>
    <row r="162" spans="2:17">
      <c r="B162" s="28" t="s">
        <v>213</v>
      </c>
      <c r="C162" s="43">
        <f xml:space="preserve"> C15</f>
        <v>1.4</v>
      </c>
      <c r="D162" s="41" t="s">
        <v>297</v>
      </c>
      <c r="E162" s="97">
        <f t="shared" ref="E162:E163" si="35">C162 * 100</f>
        <v>140</v>
      </c>
      <c r="F162" s="102" t="s">
        <v>212</v>
      </c>
      <c r="G162" s="83">
        <f>E162*G2</f>
        <v>55.118110180000002</v>
      </c>
      <c r="H162" s="83" t="s">
        <v>303</v>
      </c>
      <c r="I162" s="14"/>
      <c r="J162" s="14"/>
      <c r="O162" s="2"/>
    </row>
    <row r="163" spans="2:17">
      <c r="B163" s="28" t="s">
        <v>214</v>
      </c>
      <c r="C163" s="43">
        <f xml:space="preserve"> C3</f>
        <v>1.4</v>
      </c>
      <c r="D163" s="41" t="s">
        <v>297</v>
      </c>
      <c r="E163" s="97">
        <f t="shared" si="35"/>
        <v>140</v>
      </c>
      <c r="F163" s="102" t="s">
        <v>212</v>
      </c>
      <c r="G163" s="83">
        <f>E163*G2</f>
        <v>55.118110180000002</v>
      </c>
      <c r="H163" s="83" t="s">
        <v>303</v>
      </c>
      <c r="I163" s="14"/>
      <c r="J163" s="14"/>
      <c r="O163" s="2" t="s">
        <v>298</v>
      </c>
      <c r="P163">
        <f>SIN(P161)</f>
        <v>0.98480775301220802</v>
      </c>
    </row>
    <row r="164" spans="2:17">
      <c r="B164" s="28" t="s">
        <v>215</v>
      </c>
      <c r="C164" s="90">
        <f xml:space="preserve"> (E162+E163) * E161</f>
        <v>28431.945132800865</v>
      </c>
      <c r="D164" s="22" t="s">
        <v>216</v>
      </c>
      <c r="E164" s="19"/>
      <c r="F164" s="19"/>
      <c r="G164" s="83">
        <f>C164*G2^2</f>
        <v>4406.9603005145536</v>
      </c>
      <c r="H164" s="83" t="s">
        <v>538</v>
      </c>
      <c r="I164" s="14"/>
      <c r="J164" s="14"/>
      <c r="O164" s="2" t="s">
        <v>299</v>
      </c>
      <c r="P164">
        <f>TAN(P161)</f>
        <v>5.6712818196177066</v>
      </c>
    </row>
    <row r="165" spans="2:17">
      <c r="B165" s="28" t="s">
        <v>217</v>
      </c>
      <c r="C165" s="87">
        <f>(C164/ 100^2) * (C177 / 1000)</f>
        <v>0.10804139150464329</v>
      </c>
      <c r="D165" s="22" t="s">
        <v>255</v>
      </c>
      <c r="E165" s="19"/>
      <c r="F165" s="19"/>
      <c r="G165" s="83">
        <f>C165*G3^3</f>
        <v>3.8154457505107793</v>
      </c>
      <c r="H165" s="83" t="s">
        <v>539</v>
      </c>
      <c r="I165" s="14"/>
      <c r="J165" s="14"/>
    </row>
    <row r="166" spans="2:17">
      <c r="B166" s="19"/>
      <c r="C166" s="19"/>
      <c r="D166" s="19"/>
      <c r="E166" s="19"/>
      <c r="F166" s="19"/>
      <c r="G166" s="14"/>
      <c r="H166" s="14"/>
      <c r="I166" s="14"/>
      <c r="J166" s="14"/>
    </row>
    <row r="167" spans="2:17">
      <c r="B167" s="91" t="s">
        <v>243</v>
      </c>
      <c r="C167" s="86" t="s">
        <v>219</v>
      </c>
      <c r="D167" s="112" t="s">
        <v>534</v>
      </c>
      <c r="E167" s="86" t="s">
        <v>220</v>
      </c>
      <c r="F167" s="91" t="s">
        <v>221</v>
      </c>
      <c r="G167" s="91" t="s">
        <v>222</v>
      </c>
      <c r="H167" s="112" t="s">
        <v>536</v>
      </c>
      <c r="I167" s="112" t="s">
        <v>537</v>
      </c>
      <c r="J167" s="84" t="s">
        <v>223</v>
      </c>
      <c r="K167" s="84" t="s">
        <v>224</v>
      </c>
      <c r="L167" s="84" t="s">
        <v>225</v>
      </c>
      <c r="M167" s="110"/>
    </row>
    <row r="168" spans="2:17">
      <c r="B168" s="56" t="s">
        <v>1021</v>
      </c>
      <c r="C168" s="56">
        <v>38</v>
      </c>
      <c r="D168" s="1">
        <f>C168 / E160</f>
        <v>38.586211251658312</v>
      </c>
      <c r="E168" s="84">
        <f t="shared" ref="E168:E176" si="36">LOOKUP(B168, ArmorNames, ArmorDensity)</f>
        <v>7.86</v>
      </c>
      <c r="F168" s="84">
        <f t="shared" ref="F168:F176" si="37">LOOKUP(B168, ArmorNames, ArmorKE)</f>
        <v>0.91</v>
      </c>
      <c r="G168" s="84">
        <f t="shared" ref="G168:G176" si="38">LOOKUP(B168, ArmorNames, ArmorHEAT)</f>
        <v>0.91</v>
      </c>
      <c r="H168" s="1">
        <f t="shared" ref="H168:H176" si="39">IF(D168 &gt; 0, IF(LOOKUP(B168,ArmorNames,ArmorModifier) = 1, 1, 3.4383*EXP(-0.006*D168)), 1)</f>
        <v>1</v>
      </c>
      <c r="I168" s="1">
        <f t="shared" ref="I168:I176" si="40">IF(D168&gt;0, IF(LOOKUP(B168,ArmorNames,ArmorModifier)=1, 1, 7.8657*EXP(-0.009*D168)), 1)</f>
        <v>1</v>
      </c>
      <c r="J168" s="92">
        <f>D168 * F168 * H168</f>
        <v>35.113452239009064</v>
      </c>
      <c r="K168" s="92">
        <f>D168 * G168 * I168</f>
        <v>35.113452239009064</v>
      </c>
      <c r="L168" s="84">
        <f>(C168/10)*C164*E168/1000</f>
        <v>849.20533722649623</v>
      </c>
      <c r="M168" s="1"/>
    </row>
    <row r="169" spans="2:17">
      <c r="B169" s="56" t="s">
        <v>229</v>
      </c>
      <c r="C169" s="56">
        <v>0</v>
      </c>
      <c r="D169" s="1">
        <f>C169 / E160</f>
        <v>0</v>
      </c>
      <c r="E169" s="84">
        <f t="shared" si="36"/>
        <v>0</v>
      </c>
      <c r="F169" s="84">
        <f t="shared" si="37"/>
        <v>0</v>
      </c>
      <c r="G169" s="84">
        <f t="shared" si="38"/>
        <v>0</v>
      </c>
      <c r="H169" s="1">
        <f t="shared" si="39"/>
        <v>1</v>
      </c>
      <c r="I169" s="1">
        <f t="shared" si="40"/>
        <v>1</v>
      </c>
      <c r="J169" s="92">
        <f t="shared" ref="J169:J176" si="41">D169 * F169 * H169</f>
        <v>0</v>
      </c>
      <c r="K169" s="92">
        <f t="shared" ref="K169:K176" si="42">D169 * G169 * I169</f>
        <v>0</v>
      </c>
      <c r="L169" s="84">
        <f>(C169/10)*C164*E169/1000</f>
        <v>0</v>
      </c>
      <c r="M169" s="1"/>
    </row>
    <row r="170" spans="2:17">
      <c r="B170" s="111" t="s">
        <v>229</v>
      </c>
      <c r="C170" s="56">
        <v>0</v>
      </c>
      <c r="D170" s="1">
        <f>C170 / E160</f>
        <v>0</v>
      </c>
      <c r="E170" s="84">
        <f t="shared" si="36"/>
        <v>0</v>
      </c>
      <c r="F170" s="84">
        <f t="shared" si="37"/>
        <v>0</v>
      </c>
      <c r="G170" s="84">
        <f t="shared" si="38"/>
        <v>0</v>
      </c>
      <c r="H170" s="1">
        <f t="shared" si="39"/>
        <v>1</v>
      </c>
      <c r="I170" s="1">
        <f t="shared" si="40"/>
        <v>1</v>
      </c>
      <c r="J170" s="92">
        <f t="shared" si="41"/>
        <v>0</v>
      </c>
      <c r="K170" s="92">
        <f t="shared" si="42"/>
        <v>0</v>
      </c>
      <c r="L170" s="84">
        <f>(C170/10)*C164*E170/1000</f>
        <v>0</v>
      </c>
      <c r="M170" s="1"/>
    </row>
    <row r="171" spans="2:17">
      <c r="B171" s="56" t="s">
        <v>229</v>
      </c>
      <c r="C171" s="56">
        <v>0</v>
      </c>
      <c r="D171" s="1">
        <f>C171 / E160</f>
        <v>0</v>
      </c>
      <c r="E171" s="84">
        <f t="shared" si="36"/>
        <v>0</v>
      </c>
      <c r="F171" s="84">
        <f t="shared" si="37"/>
        <v>0</v>
      </c>
      <c r="G171" s="84">
        <f t="shared" si="38"/>
        <v>0</v>
      </c>
      <c r="H171" s="1">
        <f t="shared" si="39"/>
        <v>1</v>
      </c>
      <c r="I171" s="1">
        <f t="shared" si="40"/>
        <v>1</v>
      </c>
      <c r="J171" s="92">
        <f t="shared" si="41"/>
        <v>0</v>
      </c>
      <c r="K171" s="92">
        <f t="shared" si="42"/>
        <v>0</v>
      </c>
      <c r="L171" s="84">
        <f>(C171/10)*C164*E171/1000</f>
        <v>0</v>
      </c>
      <c r="M171" s="1"/>
    </row>
    <row r="172" spans="2:17">
      <c r="B172" s="56" t="s">
        <v>229</v>
      </c>
      <c r="C172" s="56">
        <v>0</v>
      </c>
      <c r="D172" s="1">
        <f>C172 / E160</f>
        <v>0</v>
      </c>
      <c r="E172" s="84">
        <f t="shared" si="36"/>
        <v>0</v>
      </c>
      <c r="F172" s="84">
        <f t="shared" si="37"/>
        <v>0</v>
      </c>
      <c r="G172" s="84">
        <f t="shared" si="38"/>
        <v>0</v>
      </c>
      <c r="H172" s="1">
        <f t="shared" si="39"/>
        <v>1</v>
      </c>
      <c r="I172" s="1">
        <f t="shared" si="40"/>
        <v>1</v>
      </c>
      <c r="J172" s="92">
        <f t="shared" si="41"/>
        <v>0</v>
      </c>
      <c r="K172" s="92">
        <f t="shared" si="42"/>
        <v>0</v>
      </c>
      <c r="L172" s="84">
        <f>(C172/10)*C164*E172/1000</f>
        <v>0</v>
      </c>
      <c r="M172" s="1"/>
    </row>
    <row r="173" spans="2:17">
      <c r="B173" s="56" t="s">
        <v>229</v>
      </c>
      <c r="C173" s="56">
        <v>0</v>
      </c>
      <c r="D173" s="1">
        <f>C173 / E160</f>
        <v>0</v>
      </c>
      <c r="E173" s="84">
        <f t="shared" si="36"/>
        <v>0</v>
      </c>
      <c r="F173" s="84">
        <f t="shared" si="37"/>
        <v>0</v>
      </c>
      <c r="G173" s="84">
        <f t="shared" si="38"/>
        <v>0</v>
      </c>
      <c r="H173" s="1">
        <f t="shared" si="39"/>
        <v>1</v>
      </c>
      <c r="I173" s="1">
        <f t="shared" si="40"/>
        <v>1</v>
      </c>
      <c r="J173" s="92">
        <f t="shared" si="41"/>
        <v>0</v>
      </c>
      <c r="K173" s="92">
        <f t="shared" si="42"/>
        <v>0</v>
      </c>
      <c r="L173" s="84">
        <f>(C173/10)*C164*E173/1000</f>
        <v>0</v>
      </c>
      <c r="M173" s="1"/>
    </row>
    <row r="174" spans="2:17">
      <c r="B174" s="56" t="s">
        <v>229</v>
      </c>
      <c r="C174" s="56">
        <v>0</v>
      </c>
      <c r="D174" s="1">
        <f>C174 / E160</f>
        <v>0</v>
      </c>
      <c r="E174" s="84">
        <f t="shared" si="36"/>
        <v>0</v>
      </c>
      <c r="F174" s="84">
        <f t="shared" si="37"/>
        <v>0</v>
      </c>
      <c r="G174" s="84">
        <f t="shared" si="38"/>
        <v>0</v>
      </c>
      <c r="H174" s="1">
        <f t="shared" si="39"/>
        <v>1</v>
      </c>
      <c r="I174" s="1">
        <f t="shared" si="40"/>
        <v>1</v>
      </c>
      <c r="J174" s="92">
        <f t="shared" si="41"/>
        <v>0</v>
      </c>
      <c r="K174" s="92">
        <f t="shared" si="42"/>
        <v>0</v>
      </c>
      <c r="L174" s="84">
        <f>(C174/10)*C164*E174/1000</f>
        <v>0</v>
      </c>
      <c r="M174" s="1"/>
    </row>
    <row r="175" spans="2:17">
      <c r="B175" s="56" t="s">
        <v>229</v>
      </c>
      <c r="C175" s="56">
        <v>0</v>
      </c>
      <c r="D175" s="1">
        <f>C175 / E160</f>
        <v>0</v>
      </c>
      <c r="E175" s="84">
        <f t="shared" si="36"/>
        <v>0</v>
      </c>
      <c r="F175" s="84">
        <f t="shared" si="37"/>
        <v>0</v>
      </c>
      <c r="G175" s="84">
        <f t="shared" si="38"/>
        <v>0</v>
      </c>
      <c r="H175" s="1">
        <f t="shared" si="39"/>
        <v>1</v>
      </c>
      <c r="I175" s="1">
        <f t="shared" si="40"/>
        <v>1</v>
      </c>
      <c r="J175" s="92">
        <f t="shared" si="41"/>
        <v>0</v>
      </c>
      <c r="K175" s="92">
        <f t="shared" si="42"/>
        <v>0</v>
      </c>
      <c r="L175" s="84">
        <f>(C175/10)*C164*E175/1000</f>
        <v>0</v>
      </c>
      <c r="M175" s="1"/>
    </row>
    <row r="176" spans="2:17">
      <c r="B176" s="111" t="s">
        <v>229</v>
      </c>
      <c r="C176" s="111">
        <v>0</v>
      </c>
      <c r="D176" s="1">
        <f>C176 / E160</f>
        <v>0</v>
      </c>
      <c r="E176" s="84">
        <f t="shared" si="36"/>
        <v>0</v>
      </c>
      <c r="F176" s="84">
        <f t="shared" si="37"/>
        <v>0</v>
      </c>
      <c r="G176" s="84">
        <f t="shared" si="38"/>
        <v>0</v>
      </c>
      <c r="H176" s="1">
        <f t="shared" si="39"/>
        <v>1</v>
      </c>
      <c r="I176" s="1">
        <f t="shared" si="40"/>
        <v>1</v>
      </c>
      <c r="J176" s="92">
        <f t="shared" si="41"/>
        <v>0</v>
      </c>
      <c r="K176" s="92">
        <f t="shared" si="42"/>
        <v>0</v>
      </c>
      <c r="L176" s="84">
        <f>(C176/10)*C164*E176/1000</f>
        <v>0</v>
      </c>
      <c r="M176" s="1"/>
    </row>
    <row r="177" spans="2:19">
      <c r="B177" s="85" t="s">
        <v>230</v>
      </c>
      <c r="C177" s="93">
        <f>SUM(C168:C176)</f>
        <v>38</v>
      </c>
      <c r="E177" s="86"/>
      <c r="F177" s="86"/>
      <c r="G177" s="86"/>
      <c r="J177" s="92">
        <f>SUM(J168:J176)</f>
        <v>35.113452239009064</v>
      </c>
      <c r="K177" s="92">
        <f>SUM(K168:K176)</f>
        <v>35.113452239009064</v>
      </c>
      <c r="L177" s="84">
        <f>SUM(L168:L176)</f>
        <v>849.20533722649623</v>
      </c>
      <c r="M177" t="s">
        <v>276</v>
      </c>
    </row>
    <row r="178" spans="2:19">
      <c r="B178" s="85"/>
      <c r="C178" s="91"/>
      <c r="D178" s="86"/>
      <c r="E178" s="86"/>
      <c r="I178" s="86" t="s">
        <v>231</v>
      </c>
      <c r="J178" s="56">
        <v>1.1299999999999999</v>
      </c>
      <c r="K178" s="92"/>
      <c r="L178" s="83"/>
      <c r="M178" s="88"/>
    </row>
    <row r="179" spans="2:19">
      <c r="B179" s="85"/>
      <c r="C179" s="91"/>
      <c r="D179" s="86"/>
      <c r="E179" s="86"/>
      <c r="I179" s="86"/>
      <c r="J179" s="84">
        <f>J177*J178</f>
        <v>39.678201030080238</v>
      </c>
      <c r="K179" s="83"/>
      <c r="L179" s="84">
        <f>L177/1000</f>
        <v>0.84920533722649627</v>
      </c>
      <c r="M179" s="88" t="s">
        <v>540</v>
      </c>
    </row>
    <row r="180" spans="2:19">
      <c r="B180" s="85"/>
      <c r="C180" s="91"/>
      <c r="D180" s="86"/>
      <c r="E180" s="86"/>
      <c r="F180" s="86"/>
      <c r="G180" s="83"/>
      <c r="H180" s="92"/>
      <c r="I180" s="83"/>
      <c r="J180" s="88"/>
    </row>
    <row r="181" spans="2:19" ht="15.75">
      <c r="B181" s="24" t="s">
        <v>256</v>
      </c>
      <c r="C181" s="19"/>
      <c r="D181" s="19"/>
      <c r="E181" s="19"/>
      <c r="F181" s="19"/>
      <c r="G181" s="14"/>
      <c r="H181" s="14"/>
      <c r="I181" s="14"/>
      <c r="J181" s="14"/>
    </row>
    <row r="182" spans="2:19">
      <c r="B182" s="19"/>
      <c r="C182" s="19"/>
      <c r="D182" s="19"/>
      <c r="E182" s="19"/>
      <c r="F182" s="19"/>
      <c r="G182" s="14"/>
      <c r="H182" s="14"/>
      <c r="I182" s="14"/>
      <c r="J182" s="14"/>
      <c r="O182" s="2" t="s">
        <v>578</v>
      </c>
      <c r="R182" t="s">
        <v>300</v>
      </c>
      <c r="S182">
        <f>IF(C183 = 0, 0, P183/P187)</f>
        <v>0</v>
      </c>
    </row>
    <row r="183" spans="2:19">
      <c r="B183" s="36" t="s">
        <v>209</v>
      </c>
      <c r="C183" s="18">
        <v>0</v>
      </c>
      <c r="D183" s="19" t="s">
        <v>210</v>
      </c>
      <c r="E183" s="85">
        <f>COS(RADIANS(C183))</f>
        <v>1</v>
      </c>
      <c r="F183" s="85" t="s">
        <v>577</v>
      </c>
      <c r="G183" s="14"/>
      <c r="H183" s="14"/>
      <c r="I183" s="14"/>
      <c r="J183" s="14"/>
      <c r="O183" s="2" t="s">
        <v>294</v>
      </c>
      <c r="P183">
        <f>C9</f>
        <v>1</v>
      </c>
      <c r="Q183" t="s">
        <v>297</v>
      </c>
      <c r="R183" t="s">
        <v>301</v>
      </c>
      <c r="S183">
        <f>IF( C183 = 0, P183, P183/P186)</f>
        <v>1</v>
      </c>
    </row>
    <row r="184" spans="2:19">
      <c r="B184" s="28" t="s">
        <v>211</v>
      </c>
      <c r="C184" s="97">
        <f xml:space="preserve"> S183</f>
        <v>1</v>
      </c>
      <c r="D184" s="41" t="s">
        <v>297</v>
      </c>
      <c r="E184" s="97">
        <f>C184 * 100</f>
        <v>100</v>
      </c>
      <c r="F184" s="102" t="s">
        <v>212</v>
      </c>
      <c r="G184" s="83">
        <f>E184*G2</f>
        <v>39.370078700000001</v>
      </c>
      <c r="H184" s="83" t="s">
        <v>303</v>
      </c>
      <c r="I184" s="14"/>
      <c r="J184" s="14"/>
      <c r="O184" s="2" t="s">
        <v>295</v>
      </c>
      <c r="P184">
        <f>IF(C183 = 0, 0, RADIANS(90-C183))</f>
        <v>0</v>
      </c>
      <c r="Q184" t="s">
        <v>296</v>
      </c>
    </row>
    <row r="185" spans="2:19">
      <c r="B185" s="28" t="s">
        <v>213</v>
      </c>
      <c r="C185" s="97">
        <f xml:space="preserve"> C3</f>
        <v>1.4</v>
      </c>
      <c r="D185" s="41" t="s">
        <v>297</v>
      </c>
      <c r="E185" s="97">
        <f t="shared" ref="E185:E186" si="43">C185 * 100</f>
        <v>140</v>
      </c>
      <c r="F185" s="102" t="s">
        <v>212</v>
      </c>
      <c r="G185" s="83">
        <f>E185*G2</f>
        <v>55.118110180000002</v>
      </c>
      <c r="H185" s="83" t="s">
        <v>303</v>
      </c>
      <c r="I185" s="14"/>
      <c r="J185" s="14"/>
      <c r="O185" s="2"/>
    </row>
    <row r="186" spans="2:19">
      <c r="B186" s="28" t="s">
        <v>214</v>
      </c>
      <c r="C186" s="97">
        <f xml:space="preserve"> C22</f>
        <v>1.4</v>
      </c>
      <c r="D186" s="41" t="s">
        <v>297</v>
      </c>
      <c r="E186" s="97">
        <f t="shared" si="43"/>
        <v>140</v>
      </c>
      <c r="F186" s="102" t="s">
        <v>212</v>
      </c>
      <c r="G186" s="83">
        <f>E186*G2</f>
        <v>55.118110180000002</v>
      </c>
      <c r="H186" s="83" t="s">
        <v>303</v>
      </c>
      <c r="I186" s="14"/>
      <c r="J186" s="14"/>
      <c r="O186" s="2" t="s">
        <v>298</v>
      </c>
      <c r="P186">
        <f>SIN(P184)</f>
        <v>0</v>
      </c>
    </row>
    <row r="187" spans="2:19">
      <c r="B187" s="28" t="s">
        <v>215</v>
      </c>
      <c r="C187" s="90">
        <f xml:space="preserve"> (E185+E186) * E184</f>
        <v>28000</v>
      </c>
      <c r="D187" s="22" t="s">
        <v>216</v>
      </c>
      <c r="E187" s="86"/>
      <c r="F187" s="86"/>
      <c r="G187" s="83">
        <f>C187*G2^2</f>
        <v>4340.0086711637423</v>
      </c>
      <c r="H187" s="83" t="s">
        <v>538</v>
      </c>
      <c r="I187" s="14"/>
      <c r="J187" s="14"/>
      <c r="O187" s="2" t="s">
        <v>299</v>
      </c>
      <c r="P187">
        <f>TAN(P184)</f>
        <v>0</v>
      </c>
    </row>
    <row r="188" spans="2:19">
      <c r="B188" s="28" t="s">
        <v>217</v>
      </c>
      <c r="C188" s="87">
        <f>(C187/ 100^2) * (C200 / 1000)</f>
        <v>0.10639999999999999</v>
      </c>
      <c r="D188" s="22" t="s">
        <v>255</v>
      </c>
      <c r="E188" s="86"/>
      <c r="F188" s="86"/>
      <c r="G188" s="83">
        <f>C188*G3^3</f>
        <v>3.7574805563004978</v>
      </c>
      <c r="H188" s="83" t="s">
        <v>539</v>
      </c>
      <c r="I188" s="14"/>
      <c r="J188" s="14"/>
    </row>
    <row r="189" spans="2:19">
      <c r="B189" s="19"/>
      <c r="C189" s="19"/>
      <c r="D189" s="19"/>
      <c r="E189" s="19"/>
      <c r="F189" s="19"/>
      <c r="G189" s="14"/>
      <c r="H189" s="14"/>
      <c r="I189" s="14"/>
      <c r="J189" s="14"/>
    </row>
    <row r="190" spans="2:19">
      <c r="B190" s="91" t="s">
        <v>243</v>
      </c>
      <c r="C190" s="86" t="s">
        <v>219</v>
      </c>
      <c r="D190" s="112" t="s">
        <v>534</v>
      </c>
      <c r="E190" s="86" t="s">
        <v>220</v>
      </c>
      <c r="F190" s="91" t="s">
        <v>221</v>
      </c>
      <c r="G190" s="91" t="s">
        <v>222</v>
      </c>
      <c r="H190" s="112" t="s">
        <v>536</v>
      </c>
      <c r="I190" s="112" t="s">
        <v>537</v>
      </c>
      <c r="J190" s="84" t="s">
        <v>223</v>
      </c>
      <c r="K190" s="84" t="s">
        <v>224</v>
      </c>
      <c r="L190" s="84" t="s">
        <v>225</v>
      </c>
      <c r="M190" s="110"/>
    </row>
    <row r="191" spans="2:19">
      <c r="B191" s="56" t="s">
        <v>1021</v>
      </c>
      <c r="C191" s="56">
        <v>38</v>
      </c>
      <c r="D191" s="1">
        <f>C191 / E183</f>
        <v>38</v>
      </c>
      <c r="E191" s="84">
        <f t="shared" ref="E191:E199" si="44">LOOKUP(B191, ArmorNames, ArmorDensity)</f>
        <v>7.86</v>
      </c>
      <c r="F191" s="84">
        <f t="shared" ref="F191:F199" si="45">LOOKUP(B191, ArmorNames, ArmorKE)</f>
        <v>0.91</v>
      </c>
      <c r="G191" s="84">
        <f t="shared" ref="G191:G199" si="46">LOOKUP(B191, ArmorNames, ArmorHEAT)</f>
        <v>0.91</v>
      </c>
      <c r="H191" s="1">
        <f t="shared" ref="H191:H199" si="47">IF(D191 &gt; 0, IF(LOOKUP(B191,ArmorNames,ArmorModifier) = 1, 1, 3.4383*EXP(-0.006*D191)), 1)</f>
        <v>1</v>
      </c>
      <c r="I191" s="1">
        <f t="shared" ref="I191:I199" si="48">IF(D191&gt;0, IF(LOOKUP(B191,ArmorNames,ArmorModifier)=1, 1, 7.8657*EXP(-0.009*D191)), 1)</f>
        <v>1</v>
      </c>
      <c r="J191" s="92">
        <f>D191 * F191 * H191</f>
        <v>34.58</v>
      </c>
      <c r="K191" s="92">
        <f>D191 * G191 * I191</f>
        <v>34.58</v>
      </c>
      <c r="L191" s="84">
        <f>(C191/10)*C187*E191/1000</f>
        <v>836.30399999999997</v>
      </c>
      <c r="M191" s="1"/>
    </row>
    <row r="192" spans="2:19">
      <c r="B192" s="56" t="s">
        <v>229</v>
      </c>
      <c r="C192" s="56">
        <v>0</v>
      </c>
      <c r="D192" s="1">
        <f>C192 / E183</f>
        <v>0</v>
      </c>
      <c r="E192" s="84">
        <f t="shared" si="44"/>
        <v>0</v>
      </c>
      <c r="F192" s="84">
        <f t="shared" si="45"/>
        <v>0</v>
      </c>
      <c r="G192" s="84">
        <f t="shared" si="46"/>
        <v>0</v>
      </c>
      <c r="H192" s="1">
        <f t="shared" si="47"/>
        <v>1</v>
      </c>
      <c r="I192" s="1">
        <f t="shared" si="48"/>
        <v>1</v>
      </c>
      <c r="J192" s="92">
        <f t="shared" ref="J192:J199" si="49">D192 * F192 * H192</f>
        <v>0</v>
      </c>
      <c r="K192" s="92">
        <f t="shared" ref="K192:K199" si="50">D192 * G192 * I192</f>
        <v>0</v>
      </c>
      <c r="L192" s="84">
        <f>(C192/10)*C187*E192/1000</f>
        <v>0</v>
      </c>
      <c r="M192" s="1"/>
    </row>
    <row r="193" spans="2:13">
      <c r="B193" s="111" t="s">
        <v>229</v>
      </c>
      <c r="C193" s="56">
        <v>0</v>
      </c>
      <c r="D193" s="1">
        <f>C193 / E183</f>
        <v>0</v>
      </c>
      <c r="E193" s="84">
        <f t="shared" si="44"/>
        <v>0</v>
      </c>
      <c r="F193" s="84">
        <f t="shared" si="45"/>
        <v>0</v>
      </c>
      <c r="G193" s="84">
        <f t="shared" si="46"/>
        <v>0</v>
      </c>
      <c r="H193" s="1">
        <f t="shared" si="47"/>
        <v>1</v>
      </c>
      <c r="I193" s="1">
        <f t="shared" si="48"/>
        <v>1</v>
      </c>
      <c r="J193" s="92">
        <f t="shared" si="49"/>
        <v>0</v>
      </c>
      <c r="K193" s="92">
        <f t="shared" si="50"/>
        <v>0</v>
      </c>
      <c r="L193" s="84">
        <f>(C193/10)*C187*E193/1000</f>
        <v>0</v>
      </c>
      <c r="M193" s="1"/>
    </row>
    <row r="194" spans="2:13">
      <c r="B194" s="56" t="s">
        <v>229</v>
      </c>
      <c r="C194" s="56">
        <v>0</v>
      </c>
      <c r="D194" s="1">
        <f>C194 / E183</f>
        <v>0</v>
      </c>
      <c r="E194" s="84">
        <f t="shared" si="44"/>
        <v>0</v>
      </c>
      <c r="F194" s="84">
        <f t="shared" si="45"/>
        <v>0</v>
      </c>
      <c r="G194" s="84">
        <f t="shared" si="46"/>
        <v>0</v>
      </c>
      <c r="H194" s="1">
        <f t="shared" si="47"/>
        <v>1</v>
      </c>
      <c r="I194" s="1">
        <f t="shared" si="48"/>
        <v>1</v>
      </c>
      <c r="J194" s="92">
        <f t="shared" si="49"/>
        <v>0</v>
      </c>
      <c r="K194" s="92">
        <f t="shared" si="50"/>
        <v>0</v>
      </c>
      <c r="L194" s="84">
        <f>(C194/10)*C187*E194/1000</f>
        <v>0</v>
      </c>
      <c r="M194" s="1"/>
    </row>
    <row r="195" spans="2:13">
      <c r="B195" s="56" t="s">
        <v>229</v>
      </c>
      <c r="C195" s="56">
        <v>0</v>
      </c>
      <c r="D195" s="1">
        <f>C195 / E183</f>
        <v>0</v>
      </c>
      <c r="E195" s="84">
        <f t="shared" si="44"/>
        <v>0</v>
      </c>
      <c r="F195" s="84">
        <f t="shared" si="45"/>
        <v>0</v>
      </c>
      <c r="G195" s="84">
        <f t="shared" si="46"/>
        <v>0</v>
      </c>
      <c r="H195" s="1">
        <f t="shared" si="47"/>
        <v>1</v>
      </c>
      <c r="I195" s="1">
        <f t="shared" si="48"/>
        <v>1</v>
      </c>
      <c r="J195" s="92">
        <f t="shared" si="49"/>
        <v>0</v>
      </c>
      <c r="K195" s="92">
        <f t="shared" si="50"/>
        <v>0</v>
      </c>
      <c r="L195" s="84">
        <f>(C195/10)*C187*E195/1000</f>
        <v>0</v>
      </c>
      <c r="M195" s="1"/>
    </row>
    <row r="196" spans="2:13">
      <c r="B196" s="56" t="s">
        <v>229</v>
      </c>
      <c r="C196" s="56">
        <v>0</v>
      </c>
      <c r="D196" s="1">
        <f>C196 / E183</f>
        <v>0</v>
      </c>
      <c r="E196" s="84">
        <f t="shared" si="44"/>
        <v>0</v>
      </c>
      <c r="F196" s="84">
        <f t="shared" si="45"/>
        <v>0</v>
      </c>
      <c r="G196" s="84">
        <f t="shared" si="46"/>
        <v>0</v>
      </c>
      <c r="H196" s="1">
        <f t="shared" si="47"/>
        <v>1</v>
      </c>
      <c r="I196" s="1">
        <f t="shared" si="48"/>
        <v>1</v>
      </c>
      <c r="J196" s="92">
        <f t="shared" si="49"/>
        <v>0</v>
      </c>
      <c r="K196" s="92">
        <f t="shared" si="50"/>
        <v>0</v>
      </c>
      <c r="L196" s="84">
        <f>(C196/10)*C187*E196/1000</f>
        <v>0</v>
      </c>
      <c r="M196" s="1"/>
    </row>
    <row r="197" spans="2:13">
      <c r="B197" s="56" t="s">
        <v>229</v>
      </c>
      <c r="C197" s="56">
        <v>0</v>
      </c>
      <c r="D197" s="1">
        <f>C197 / E183</f>
        <v>0</v>
      </c>
      <c r="E197" s="84">
        <f t="shared" si="44"/>
        <v>0</v>
      </c>
      <c r="F197" s="84">
        <f t="shared" si="45"/>
        <v>0</v>
      </c>
      <c r="G197" s="84">
        <f t="shared" si="46"/>
        <v>0</v>
      </c>
      <c r="H197" s="1">
        <f t="shared" si="47"/>
        <v>1</v>
      </c>
      <c r="I197" s="1">
        <f t="shared" si="48"/>
        <v>1</v>
      </c>
      <c r="J197" s="92">
        <f t="shared" si="49"/>
        <v>0</v>
      </c>
      <c r="K197" s="92">
        <f t="shared" si="50"/>
        <v>0</v>
      </c>
      <c r="L197" s="84">
        <f>(C197/10)*C187*E197/1000</f>
        <v>0</v>
      </c>
      <c r="M197" s="1"/>
    </row>
    <row r="198" spans="2:13">
      <c r="B198" s="56" t="s">
        <v>229</v>
      </c>
      <c r="C198" s="56">
        <v>0</v>
      </c>
      <c r="D198" s="1">
        <f>C198 / E183</f>
        <v>0</v>
      </c>
      <c r="E198" s="84">
        <f t="shared" si="44"/>
        <v>0</v>
      </c>
      <c r="F198" s="84">
        <f t="shared" si="45"/>
        <v>0</v>
      </c>
      <c r="G198" s="84">
        <f t="shared" si="46"/>
        <v>0</v>
      </c>
      <c r="H198" s="1">
        <f t="shared" si="47"/>
        <v>1</v>
      </c>
      <c r="I198" s="1">
        <f t="shared" si="48"/>
        <v>1</v>
      </c>
      <c r="J198" s="92">
        <f t="shared" si="49"/>
        <v>0</v>
      </c>
      <c r="K198" s="92">
        <f t="shared" si="50"/>
        <v>0</v>
      </c>
      <c r="L198" s="84">
        <f>(C198/10)*C187*E198/1000</f>
        <v>0</v>
      </c>
      <c r="M198" s="1"/>
    </row>
    <row r="199" spans="2:13">
      <c r="B199" s="111" t="s">
        <v>229</v>
      </c>
      <c r="C199" s="111">
        <v>0</v>
      </c>
      <c r="D199" s="1">
        <f>C199 / E183</f>
        <v>0</v>
      </c>
      <c r="E199" s="84">
        <f t="shared" si="44"/>
        <v>0</v>
      </c>
      <c r="F199" s="84">
        <f t="shared" si="45"/>
        <v>0</v>
      </c>
      <c r="G199" s="84">
        <f t="shared" si="46"/>
        <v>0</v>
      </c>
      <c r="H199" s="1">
        <f t="shared" si="47"/>
        <v>1</v>
      </c>
      <c r="I199" s="1">
        <f t="shared" si="48"/>
        <v>1</v>
      </c>
      <c r="J199" s="92">
        <f t="shared" si="49"/>
        <v>0</v>
      </c>
      <c r="K199" s="92">
        <f t="shared" si="50"/>
        <v>0</v>
      </c>
      <c r="L199" s="84">
        <f>(C199/10)*C187*E199/1000</f>
        <v>0</v>
      </c>
      <c r="M199" s="1"/>
    </row>
    <row r="200" spans="2:13">
      <c r="B200" s="85" t="s">
        <v>230</v>
      </c>
      <c r="C200" s="93">
        <f>SUM(C191:C199)</f>
        <v>38</v>
      </c>
      <c r="E200" s="86"/>
      <c r="F200" s="86"/>
      <c r="G200" s="86"/>
      <c r="J200" s="92">
        <f>SUM(J191:J199)</f>
        <v>34.58</v>
      </c>
      <c r="K200" s="92">
        <f>SUM(K191:K199)</f>
        <v>34.58</v>
      </c>
      <c r="L200" s="84">
        <f>SUM(L191:L199)</f>
        <v>836.30399999999997</v>
      </c>
      <c r="M200" t="s">
        <v>276</v>
      </c>
    </row>
    <row r="201" spans="2:13">
      <c r="B201" s="85"/>
      <c r="C201" s="91"/>
      <c r="D201" s="86"/>
      <c r="E201" s="86"/>
      <c r="I201" s="86" t="s">
        <v>231</v>
      </c>
      <c r="J201" s="56">
        <v>1.1299999999999999</v>
      </c>
      <c r="K201" s="92"/>
      <c r="L201" s="83"/>
      <c r="M201" s="88"/>
    </row>
    <row r="202" spans="2:13">
      <c r="B202" s="85"/>
      <c r="C202" s="91"/>
      <c r="D202" s="86"/>
      <c r="E202" s="86"/>
      <c r="I202" s="86"/>
      <c r="J202" s="84">
        <f>J200*J201</f>
        <v>39.075399999999995</v>
      </c>
      <c r="K202" s="83"/>
      <c r="L202" s="84">
        <f>L200/1000</f>
        <v>0.83630399999999994</v>
      </c>
      <c r="M202" s="88" t="s">
        <v>540</v>
      </c>
    </row>
    <row r="203" spans="2:13">
      <c r="B203" s="85"/>
      <c r="C203" s="91"/>
      <c r="D203" s="86"/>
      <c r="E203" s="86"/>
      <c r="F203" s="86"/>
      <c r="G203" s="83"/>
      <c r="H203" s="92"/>
      <c r="I203" s="83"/>
      <c r="J203" s="88"/>
    </row>
    <row r="204" spans="2:13" ht="15.75" thickBot="1">
      <c r="B204" s="35"/>
      <c r="C204" s="35"/>
      <c r="D204" s="35"/>
      <c r="E204" s="35"/>
      <c r="F204" s="35"/>
      <c r="G204" s="35"/>
      <c r="H204" s="35"/>
      <c r="I204" s="35"/>
      <c r="J204" s="35"/>
    </row>
    <row r="205" spans="2:13" ht="15.75" thickTop="1">
      <c r="B205" s="16"/>
      <c r="C205" s="19"/>
      <c r="D205" s="19"/>
      <c r="E205" s="19"/>
      <c r="F205" s="19"/>
      <c r="G205" s="14"/>
      <c r="H205" s="14"/>
      <c r="I205" s="14"/>
      <c r="J205" s="23"/>
    </row>
    <row r="206" spans="2:13" ht="15.75">
      <c r="B206" s="24" t="s">
        <v>257</v>
      </c>
      <c r="C206" s="19"/>
      <c r="D206" s="19"/>
      <c r="E206" s="19"/>
      <c r="F206" s="19"/>
      <c r="G206" s="14"/>
      <c r="H206" s="14"/>
      <c r="I206" s="14"/>
      <c r="J206" s="23"/>
    </row>
    <row r="207" spans="2:13" ht="15.75">
      <c r="B207" s="24"/>
      <c r="C207" s="34" t="s">
        <v>234</v>
      </c>
      <c r="D207" s="34" t="s">
        <v>171</v>
      </c>
      <c r="E207" s="34" t="s">
        <v>172</v>
      </c>
      <c r="F207" s="14"/>
      <c r="G207" s="14"/>
      <c r="H207" s="14"/>
      <c r="I207" s="14"/>
      <c r="J207" s="14"/>
    </row>
    <row r="208" spans="2:13">
      <c r="B208" s="28" t="s">
        <v>235</v>
      </c>
      <c r="C208" s="37">
        <f xml:space="preserve"> C164</f>
        <v>28431.945132800865</v>
      </c>
      <c r="D208" s="104">
        <f xml:space="preserve"> J179</f>
        <v>39.678201030080238</v>
      </c>
      <c r="E208" s="103">
        <f xml:space="preserve"> K177</f>
        <v>35.113452239009064</v>
      </c>
      <c r="F208" s="14"/>
      <c r="G208" s="14"/>
      <c r="H208" s="14"/>
      <c r="I208" s="14"/>
      <c r="J208" s="14"/>
    </row>
    <row r="209" spans="2:10">
      <c r="B209" s="28" t="s">
        <v>238</v>
      </c>
      <c r="C209" s="37">
        <f xml:space="preserve"> C187</f>
        <v>28000</v>
      </c>
      <c r="D209" s="104">
        <f xml:space="preserve"> J202</f>
        <v>39.075399999999995</v>
      </c>
      <c r="E209" s="103">
        <f xml:space="preserve"> K200</f>
        <v>34.58</v>
      </c>
      <c r="F209" s="14"/>
      <c r="G209" s="14"/>
      <c r="H209" s="14"/>
      <c r="I209" s="14"/>
      <c r="J209" s="23"/>
    </row>
    <row r="210" spans="2:10">
      <c r="B210" s="28" t="s">
        <v>240</v>
      </c>
      <c r="C210" s="37">
        <f xml:space="preserve"> SUM(C208:C209)</f>
        <v>56431.945132800865</v>
      </c>
      <c r="D210" s="38"/>
      <c r="E210" s="38"/>
      <c r="F210" s="14"/>
      <c r="G210" s="14"/>
      <c r="H210" s="14"/>
      <c r="I210" s="14"/>
      <c r="J210" s="23"/>
    </row>
    <row r="211" spans="2:10">
      <c r="B211" s="28"/>
      <c r="C211" s="38"/>
      <c r="D211" s="38"/>
      <c r="E211" s="38"/>
      <c r="F211" s="14"/>
      <c r="G211" s="14"/>
      <c r="H211" s="14"/>
      <c r="I211" s="14"/>
      <c r="J211" s="23"/>
    </row>
    <row r="212" spans="2:10">
      <c r="B212" s="14" t="s">
        <v>223</v>
      </c>
      <c r="C212" s="96">
        <f xml:space="preserve"> ((C208 * D208)  + (C209 * D209)) / C210</f>
        <v>39.379107514828782</v>
      </c>
      <c r="D212" s="23" t="s">
        <v>241</v>
      </c>
      <c r="E212" s="15"/>
      <c r="F212" s="23"/>
      <c r="G212" s="14"/>
      <c r="H212" s="14"/>
      <c r="I212" s="14"/>
      <c r="J212" s="23"/>
    </row>
    <row r="213" spans="2:10">
      <c r="B213" s="16" t="s">
        <v>224</v>
      </c>
      <c r="C213" s="103">
        <f xml:space="preserve"> ((C208 * E208) + (C209 * E209)) / C210</f>
        <v>34.848767712237866</v>
      </c>
      <c r="D213" s="23" t="s">
        <v>241</v>
      </c>
      <c r="E213" s="19"/>
      <c r="F213" s="19"/>
      <c r="G213" s="14"/>
      <c r="H213" s="14"/>
      <c r="I213" s="14"/>
      <c r="J213" s="23"/>
    </row>
    <row r="214" spans="2:10">
      <c r="B214" s="16" t="s">
        <v>120</v>
      </c>
      <c r="C214" s="103">
        <f xml:space="preserve"> L179 + L202</f>
        <v>1.6855093372264962</v>
      </c>
      <c r="D214" s="23" t="s">
        <v>840</v>
      </c>
      <c r="E214" s="19"/>
      <c r="F214" s="19"/>
      <c r="G214" s="14"/>
      <c r="H214" s="14"/>
      <c r="I214" s="14"/>
      <c r="J214" s="23"/>
    </row>
    <row r="215" spans="2:10" ht="15.75" thickBot="1">
      <c r="B215" s="35"/>
      <c r="C215" s="35"/>
      <c r="D215" s="35"/>
      <c r="E215" s="35"/>
      <c r="F215" s="35"/>
      <c r="G215" s="35"/>
      <c r="H215" s="35"/>
      <c r="I215" s="35"/>
      <c r="J215" s="35"/>
    </row>
    <row r="216" spans="2:10" ht="15.75" thickTop="1">
      <c r="B216" s="14"/>
      <c r="C216" s="14"/>
      <c r="D216" s="14"/>
      <c r="E216" s="14"/>
      <c r="F216" s="14"/>
      <c r="G216" s="14"/>
      <c r="H216" s="14"/>
      <c r="I216" s="14"/>
      <c r="J216" s="14"/>
    </row>
    <row r="217" spans="2:10" ht="15.75">
      <c r="B217" s="24" t="s">
        <v>258</v>
      </c>
      <c r="C217" s="19"/>
      <c r="D217" s="19"/>
      <c r="E217" s="19"/>
      <c r="F217" s="19"/>
      <c r="G217" s="14"/>
      <c r="H217" s="14"/>
      <c r="I217" s="14"/>
      <c r="J217" s="14"/>
    </row>
    <row r="218" spans="2:10">
      <c r="B218" s="19"/>
      <c r="C218" s="19"/>
      <c r="D218" s="19"/>
      <c r="E218" s="19"/>
      <c r="F218" s="19"/>
      <c r="G218" s="14"/>
      <c r="H218" s="14"/>
      <c r="I218" s="14"/>
      <c r="J218" s="14"/>
    </row>
    <row r="219" spans="2:10">
      <c r="B219" s="22" t="s">
        <v>259</v>
      </c>
      <c r="C219" s="21">
        <f xml:space="preserve"> C11 - (C49 + C177) / 1000</f>
        <v>4.9493043092668518</v>
      </c>
      <c r="D219" s="22" t="s">
        <v>297</v>
      </c>
      <c r="E219" s="19"/>
      <c r="F219" s="19"/>
      <c r="G219" s="14"/>
      <c r="H219" s="14"/>
      <c r="I219" s="14"/>
      <c r="J219" s="14"/>
    </row>
    <row r="220" spans="2:10">
      <c r="B220" s="22" t="s">
        <v>260</v>
      </c>
      <c r="C220" s="22">
        <f xml:space="preserve"> C15 - C109 / 500</f>
        <v>1.3239999999999998</v>
      </c>
      <c r="D220" s="22" t="s">
        <v>297</v>
      </c>
      <c r="E220" s="19"/>
      <c r="F220" s="19"/>
      <c r="G220" s="14"/>
      <c r="H220" s="14"/>
      <c r="I220" s="14"/>
      <c r="J220" s="14"/>
    </row>
    <row r="221" spans="2:10">
      <c r="B221" s="22" t="s">
        <v>261</v>
      </c>
      <c r="C221" s="44">
        <f xml:space="preserve"> C219 * C220 * 100^2</f>
        <v>65528.789054693108</v>
      </c>
      <c r="D221" s="22" t="s">
        <v>216</v>
      </c>
      <c r="E221" s="19"/>
      <c r="F221" s="19"/>
      <c r="G221" s="14"/>
      <c r="H221" s="14"/>
      <c r="I221" s="14"/>
      <c r="J221" s="14"/>
    </row>
    <row r="222" spans="2:10">
      <c r="B222" s="22" t="s">
        <v>262</v>
      </c>
      <c r="C222" s="44">
        <v>282.74333882308139</v>
      </c>
      <c r="D222" s="22" t="s">
        <v>216</v>
      </c>
      <c r="E222" s="19"/>
      <c r="F222" s="19"/>
      <c r="G222" s="14"/>
      <c r="H222" s="14"/>
      <c r="I222" s="14"/>
      <c r="J222" s="14"/>
    </row>
    <row r="223" spans="2:10">
      <c r="B223" s="22" t="s">
        <v>263</v>
      </c>
      <c r="C223" s="44">
        <f xml:space="preserve"> C221 - C222</f>
        <v>65246.04571587003</v>
      </c>
      <c r="D223" s="22" t="s">
        <v>216</v>
      </c>
      <c r="E223" s="19"/>
      <c r="F223" s="19"/>
      <c r="G223" s="14"/>
      <c r="H223" s="14"/>
      <c r="I223" s="14"/>
      <c r="J223" s="14"/>
    </row>
    <row r="224" spans="2:10">
      <c r="B224" s="22" t="s">
        <v>264</v>
      </c>
      <c r="C224" s="22">
        <f xml:space="preserve"> (C223 / 100^2) * (C236 / 1000)</f>
        <v>0.16311511428967507</v>
      </c>
      <c r="D224" s="22" t="s">
        <v>218</v>
      </c>
      <c r="E224" s="19"/>
      <c r="F224" s="19"/>
      <c r="G224" s="14"/>
      <c r="H224" s="14"/>
      <c r="I224" s="14"/>
      <c r="J224" s="14"/>
    </row>
    <row r="225" spans="2:13">
      <c r="B225" s="19"/>
      <c r="C225" s="19"/>
      <c r="D225" s="19"/>
      <c r="E225" s="19"/>
      <c r="F225" s="19"/>
      <c r="G225" s="14"/>
      <c r="H225" s="14"/>
      <c r="I225" s="14"/>
      <c r="J225" s="14"/>
    </row>
    <row r="226" spans="2:13">
      <c r="B226" s="91" t="s">
        <v>243</v>
      </c>
      <c r="C226" s="86" t="s">
        <v>219</v>
      </c>
      <c r="D226" s="112"/>
      <c r="E226" s="86" t="s">
        <v>220</v>
      </c>
      <c r="F226" s="91" t="s">
        <v>221</v>
      </c>
      <c r="G226" s="91" t="s">
        <v>222</v>
      </c>
      <c r="H226" s="112" t="s">
        <v>536</v>
      </c>
      <c r="I226" s="112" t="s">
        <v>537</v>
      </c>
      <c r="J226" s="84" t="s">
        <v>223</v>
      </c>
      <c r="K226" s="84" t="s">
        <v>224</v>
      </c>
      <c r="L226" s="84" t="s">
        <v>225</v>
      </c>
      <c r="M226" s="110"/>
    </row>
    <row r="227" spans="2:13">
      <c r="B227" s="56" t="s">
        <v>1021</v>
      </c>
      <c r="C227" s="56">
        <v>25</v>
      </c>
      <c r="D227" s="1"/>
      <c r="E227" s="84">
        <f t="shared" ref="E227:E235" si="51">LOOKUP(B227, ArmorNames, ArmorDensity)</f>
        <v>7.86</v>
      </c>
      <c r="F227" s="84">
        <f t="shared" ref="F227:F235" si="52">LOOKUP(B227, ArmorNames, ArmorKE)</f>
        <v>0.91</v>
      </c>
      <c r="G227" s="84">
        <f t="shared" ref="G227:G235" si="53">LOOKUP(B227, ArmorNames, ArmorHEAT)</f>
        <v>0.91</v>
      </c>
      <c r="H227" s="1">
        <f t="shared" ref="H227:H235" si="54">IF(C227 &gt; 0, IF(LOOKUP(B227,ArmorNames,ArmorModifier) = 1, 1, 3.4383*EXP(-0.006*C227)), 1)</f>
        <v>1</v>
      </c>
      <c r="I227" s="1">
        <f t="shared" ref="I227:I235" si="55">IF(C227&gt;0, IF(LOOKUP(B227,ArmorNames,ArmorModifier)=1, 1, 7.8657*EXP(-0.009*C227)), 1)</f>
        <v>1</v>
      </c>
      <c r="J227" s="92">
        <f>C227 * F227 * H227</f>
        <v>22.75</v>
      </c>
      <c r="K227" s="92">
        <f>C227 * G227 * I227</f>
        <v>22.75</v>
      </c>
      <c r="L227" s="84">
        <f>(C227/10)*C223*E227/1000</f>
        <v>1282.0847983168462</v>
      </c>
      <c r="M227" s="1"/>
    </row>
    <row r="228" spans="2:13">
      <c r="B228" s="56" t="s">
        <v>229</v>
      </c>
      <c r="C228" s="56">
        <v>0</v>
      </c>
      <c r="D228" s="1"/>
      <c r="E228" s="84">
        <f t="shared" si="51"/>
        <v>0</v>
      </c>
      <c r="F228" s="84">
        <f t="shared" si="52"/>
        <v>0</v>
      </c>
      <c r="G228" s="84">
        <f t="shared" si="53"/>
        <v>0</v>
      </c>
      <c r="H228" s="1">
        <f t="shared" si="54"/>
        <v>1</v>
      </c>
      <c r="I228" s="1">
        <f t="shared" si="55"/>
        <v>1</v>
      </c>
      <c r="J228" s="92">
        <f t="shared" ref="J228:J235" si="56">C228 * F228 * H228</f>
        <v>0</v>
      </c>
      <c r="K228" s="92">
        <f t="shared" ref="K228:K235" si="57">C228 * G228 * I228</f>
        <v>0</v>
      </c>
      <c r="L228" s="84">
        <f>(C228/10)*C223*E228/1000</f>
        <v>0</v>
      </c>
      <c r="M228" s="1"/>
    </row>
    <row r="229" spans="2:13">
      <c r="B229" s="111" t="s">
        <v>229</v>
      </c>
      <c r="C229" s="56">
        <v>0</v>
      </c>
      <c r="D229" s="1"/>
      <c r="E229" s="84">
        <f t="shared" si="51"/>
        <v>0</v>
      </c>
      <c r="F229" s="84">
        <f t="shared" si="52"/>
        <v>0</v>
      </c>
      <c r="G229" s="84">
        <f t="shared" si="53"/>
        <v>0</v>
      </c>
      <c r="H229" s="1">
        <f t="shared" si="54"/>
        <v>1</v>
      </c>
      <c r="I229" s="1">
        <f t="shared" si="55"/>
        <v>1</v>
      </c>
      <c r="J229" s="92">
        <f t="shared" si="56"/>
        <v>0</v>
      </c>
      <c r="K229" s="92">
        <f t="shared" si="57"/>
        <v>0</v>
      </c>
      <c r="L229" s="84">
        <f>(C229/10)*C223*E229/1000</f>
        <v>0</v>
      </c>
      <c r="M229" s="1"/>
    </row>
    <row r="230" spans="2:13">
      <c r="B230" s="56" t="s">
        <v>229</v>
      </c>
      <c r="C230" s="56">
        <v>0</v>
      </c>
      <c r="D230" s="1"/>
      <c r="E230" s="84">
        <f t="shared" si="51"/>
        <v>0</v>
      </c>
      <c r="F230" s="84">
        <f t="shared" si="52"/>
        <v>0</v>
      </c>
      <c r="G230" s="84">
        <f t="shared" si="53"/>
        <v>0</v>
      </c>
      <c r="H230" s="1">
        <f t="shared" si="54"/>
        <v>1</v>
      </c>
      <c r="I230" s="1">
        <f t="shared" si="55"/>
        <v>1</v>
      </c>
      <c r="J230" s="92">
        <f t="shared" si="56"/>
        <v>0</v>
      </c>
      <c r="K230" s="92">
        <f t="shared" si="57"/>
        <v>0</v>
      </c>
      <c r="L230" s="84">
        <f>(C230/10)*C223*E230/1000</f>
        <v>0</v>
      </c>
      <c r="M230" s="1"/>
    </row>
    <row r="231" spans="2:13">
      <c r="B231" s="56" t="s">
        <v>229</v>
      </c>
      <c r="C231" s="56">
        <v>0</v>
      </c>
      <c r="D231" s="1"/>
      <c r="E231" s="84">
        <f t="shared" si="51"/>
        <v>0</v>
      </c>
      <c r="F231" s="84">
        <f t="shared" si="52"/>
        <v>0</v>
      </c>
      <c r="G231" s="84">
        <f t="shared" si="53"/>
        <v>0</v>
      </c>
      <c r="H231" s="1">
        <f t="shared" si="54"/>
        <v>1</v>
      </c>
      <c r="I231" s="1">
        <f t="shared" si="55"/>
        <v>1</v>
      </c>
      <c r="J231" s="92">
        <f t="shared" si="56"/>
        <v>0</v>
      </c>
      <c r="K231" s="92">
        <f t="shared" si="57"/>
        <v>0</v>
      </c>
      <c r="L231" s="84">
        <f>(C231/10)*C223*E231/1000</f>
        <v>0</v>
      </c>
      <c r="M231" s="1"/>
    </row>
    <row r="232" spans="2:13">
      <c r="B232" s="56" t="s">
        <v>229</v>
      </c>
      <c r="C232" s="56">
        <v>0</v>
      </c>
      <c r="D232" s="1"/>
      <c r="E232" s="84">
        <f t="shared" si="51"/>
        <v>0</v>
      </c>
      <c r="F232" s="84">
        <f t="shared" si="52"/>
        <v>0</v>
      </c>
      <c r="G232" s="84">
        <f t="shared" si="53"/>
        <v>0</v>
      </c>
      <c r="H232" s="1">
        <f t="shared" si="54"/>
        <v>1</v>
      </c>
      <c r="I232" s="1">
        <f t="shared" si="55"/>
        <v>1</v>
      </c>
      <c r="J232" s="92">
        <f t="shared" si="56"/>
        <v>0</v>
      </c>
      <c r="K232" s="92">
        <f t="shared" si="57"/>
        <v>0</v>
      </c>
      <c r="L232" s="84">
        <f>(C232/10)*C223*E232/1000</f>
        <v>0</v>
      </c>
      <c r="M232" s="1"/>
    </row>
    <row r="233" spans="2:13">
      <c r="B233" s="56" t="s">
        <v>229</v>
      </c>
      <c r="C233" s="56">
        <v>0</v>
      </c>
      <c r="D233" s="1"/>
      <c r="E233" s="84">
        <f t="shared" si="51"/>
        <v>0</v>
      </c>
      <c r="F233" s="84">
        <f t="shared" si="52"/>
        <v>0</v>
      </c>
      <c r="G233" s="84">
        <f t="shared" si="53"/>
        <v>0</v>
      </c>
      <c r="H233" s="1">
        <f t="shared" si="54"/>
        <v>1</v>
      </c>
      <c r="I233" s="1">
        <f t="shared" si="55"/>
        <v>1</v>
      </c>
      <c r="J233" s="92">
        <f t="shared" si="56"/>
        <v>0</v>
      </c>
      <c r="K233" s="92">
        <f t="shared" si="57"/>
        <v>0</v>
      </c>
      <c r="L233" s="84">
        <f>(C233/10)*C223*E233/1000</f>
        <v>0</v>
      </c>
      <c r="M233" s="1"/>
    </row>
    <row r="234" spans="2:13">
      <c r="B234" s="56" t="s">
        <v>229</v>
      </c>
      <c r="C234" s="56">
        <v>0</v>
      </c>
      <c r="D234" s="1"/>
      <c r="E234" s="84">
        <f t="shared" si="51"/>
        <v>0</v>
      </c>
      <c r="F234" s="84">
        <f t="shared" si="52"/>
        <v>0</v>
      </c>
      <c r="G234" s="84">
        <f t="shared" si="53"/>
        <v>0</v>
      </c>
      <c r="H234" s="1">
        <f t="shared" si="54"/>
        <v>1</v>
      </c>
      <c r="I234" s="1">
        <f t="shared" si="55"/>
        <v>1</v>
      </c>
      <c r="J234" s="92">
        <f t="shared" si="56"/>
        <v>0</v>
      </c>
      <c r="K234" s="92">
        <f t="shared" si="57"/>
        <v>0</v>
      </c>
      <c r="L234" s="84">
        <f>(C234/10)*C223*E234/1000</f>
        <v>0</v>
      </c>
      <c r="M234" s="1"/>
    </row>
    <row r="235" spans="2:13">
      <c r="B235" s="111" t="s">
        <v>229</v>
      </c>
      <c r="C235" s="111">
        <v>0</v>
      </c>
      <c r="D235" s="1"/>
      <c r="E235" s="84">
        <f t="shared" si="51"/>
        <v>0</v>
      </c>
      <c r="F235" s="84">
        <f t="shared" si="52"/>
        <v>0</v>
      </c>
      <c r="G235" s="84">
        <f t="shared" si="53"/>
        <v>0</v>
      </c>
      <c r="H235" s="1">
        <f t="shared" si="54"/>
        <v>1</v>
      </c>
      <c r="I235" s="1">
        <f t="shared" si="55"/>
        <v>1</v>
      </c>
      <c r="J235" s="92">
        <f t="shared" si="56"/>
        <v>0</v>
      </c>
      <c r="K235" s="92">
        <f t="shared" si="57"/>
        <v>0</v>
      </c>
      <c r="L235" s="84">
        <f>(C235/10)*C223*E235/1000</f>
        <v>0</v>
      </c>
      <c r="M235" s="1"/>
    </row>
    <row r="236" spans="2:13">
      <c r="B236" s="85" t="s">
        <v>230</v>
      </c>
      <c r="C236" s="93">
        <f>SUM(C227:C235)</f>
        <v>25</v>
      </c>
      <c r="E236" s="86"/>
      <c r="F236" s="86"/>
      <c r="G236" s="86"/>
      <c r="J236" s="92">
        <f>SUM(J227:J235)</f>
        <v>22.75</v>
      </c>
      <c r="K236" s="92">
        <f>SUM(K227:K235)</f>
        <v>22.75</v>
      </c>
      <c r="L236" s="84">
        <f>SUM(L227:L235)</f>
        <v>1282.0847983168462</v>
      </c>
      <c r="M236" t="s">
        <v>276</v>
      </c>
    </row>
    <row r="237" spans="2:13">
      <c r="B237" s="85"/>
      <c r="C237" s="91"/>
      <c r="D237" s="86"/>
      <c r="E237" s="86"/>
      <c r="I237" s="86" t="s">
        <v>231</v>
      </c>
      <c r="J237" s="56">
        <v>1.1299999999999999</v>
      </c>
      <c r="K237" s="92"/>
      <c r="L237" s="83"/>
      <c r="M237" s="88"/>
    </row>
    <row r="238" spans="2:13">
      <c r="B238" s="85"/>
      <c r="C238" s="91"/>
      <c r="D238" s="86"/>
      <c r="E238" s="86"/>
      <c r="I238" s="86"/>
      <c r="J238" s="84">
        <f>J236*J237</f>
        <v>25.707499999999996</v>
      </c>
      <c r="K238" s="83"/>
      <c r="L238" s="84">
        <f>L236/1000</f>
        <v>1.2820847983168462</v>
      </c>
      <c r="M238" s="88" t="s">
        <v>540</v>
      </c>
    </row>
    <row r="239" spans="2:13" ht="15.75" thickBot="1">
      <c r="B239" s="124"/>
      <c r="C239" s="124"/>
      <c r="D239" s="124"/>
      <c r="E239" s="124"/>
      <c r="F239" s="124"/>
      <c r="G239" s="124"/>
      <c r="H239" s="124"/>
      <c r="I239" s="124"/>
      <c r="J239" s="124"/>
    </row>
    <row r="240" spans="2:13" ht="15.75" thickTop="1">
      <c r="B240" s="116"/>
      <c r="C240" s="116"/>
      <c r="D240" s="116"/>
      <c r="E240" s="116"/>
      <c r="F240" s="116"/>
      <c r="G240" s="116"/>
      <c r="H240" s="116"/>
      <c r="I240" s="116"/>
      <c r="J240" s="116"/>
    </row>
    <row r="241" spans="2:13" ht="15.75">
      <c r="B241" s="24" t="s">
        <v>265</v>
      </c>
      <c r="C241" s="19"/>
      <c r="D241" s="19"/>
      <c r="E241" s="19"/>
      <c r="F241" s="19"/>
      <c r="G241" s="14"/>
      <c r="H241" s="14"/>
      <c r="I241" s="14"/>
      <c r="J241" s="14"/>
    </row>
    <row r="242" spans="2:13">
      <c r="B242" s="22"/>
      <c r="C242" s="22"/>
      <c r="D242" s="22"/>
      <c r="E242" s="19"/>
      <c r="F242" s="19"/>
      <c r="G242" s="14"/>
      <c r="H242" s="14"/>
      <c r="I242" s="14"/>
      <c r="J242" s="14"/>
    </row>
    <row r="243" spans="2:13">
      <c r="B243" s="22" t="s">
        <v>259</v>
      </c>
      <c r="C243" s="45">
        <f xml:space="preserve"> C18 - (C72 + C200) / 1000</f>
        <v>4.7284390314872589</v>
      </c>
      <c r="D243" s="22" t="s">
        <v>297</v>
      </c>
      <c r="E243" s="19"/>
      <c r="F243" s="19"/>
      <c r="G243" s="14"/>
      <c r="H243" s="14"/>
      <c r="I243" s="14"/>
      <c r="J243" s="14"/>
    </row>
    <row r="244" spans="2:13">
      <c r="B244" s="22" t="s">
        <v>260</v>
      </c>
      <c r="C244" s="45">
        <f xml:space="preserve"> C22 - C131 / 500</f>
        <v>1.3239999999999998</v>
      </c>
      <c r="D244" s="22" t="s">
        <v>297</v>
      </c>
      <c r="E244" s="16"/>
      <c r="F244" s="16"/>
      <c r="G244" s="14"/>
      <c r="H244" s="14"/>
      <c r="I244" s="14"/>
      <c r="J244" s="14"/>
    </row>
    <row r="245" spans="2:13">
      <c r="B245" s="22" t="s">
        <v>261</v>
      </c>
      <c r="C245" s="125">
        <f xml:space="preserve"> C243 * C244</f>
        <v>6.2604532776891304</v>
      </c>
      <c r="D245" s="22" t="s">
        <v>218</v>
      </c>
      <c r="E245" s="19"/>
      <c r="F245" s="19"/>
      <c r="G245" s="14"/>
      <c r="H245" s="14"/>
      <c r="I245" s="14"/>
      <c r="J245" s="14"/>
    </row>
    <row r="246" spans="2:13">
      <c r="B246" s="22" t="s">
        <v>263</v>
      </c>
      <c r="C246" s="125">
        <f xml:space="preserve"> C245 * 100^2</f>
        <v>62604.532776891305</v>
      </c>
      <c r="D246" s="22" t="s">
        <v>216</v>
      </c>
      <c r="E246" s="19"/>
      <c r="F246" s="19"/>
      <c r="G246" s="14"/>
      <c r="H246" s="14"/>
      <c r="I246" s="14"/>
      <c r="J246" s="14"/>
    </row>
    <row r="247" spans="2:13">
      <c r="B247" s="22" t="s">
        <v>264</v>
      </c>
      <c r="C247" s="45">
        <f xml:space="preserve"> C245 * (C259 / 1000)</f>
        <v>8.1385892609958696E-2</v>
      </c>
      <c r="D247" s="22" t="s">
        <v>218</v>
      </c>
      <c r="E247" s="19"/>
      <c r="F247" s="19"/>
      <c r="G247" s="14"/>
      <c r="H247" s="14"/>
      <c r="I247" s="14"/>
      <c r="J247" s="14"/>
    </row>
    <row r="248" spans="2:13">
      <c r="B248" s="19"/>
      <c r="C248" s="19"/>
      <c r="D248" s="19"/>
      <c r="E248" s="19"/>
      <c r="F248" s="19"/>
      <c r="G248" s="14"/>
      <c r="H248" s="14"/>
      <c r="I248" s="14"/>
      <c r="J248" s="14"/>
    </row>
    <row r="249" spans="2:13">
      <c r="B249" s="121" t="s">
        <v>243</v>
      </c>
      <c r="C249" s="119" t="s">
        <v>219</v>
      </c>
      <c r="D249" s="128"/>
      <c r="E249" s="119" t="s">
        <v>220</v>
      </c>
      <c r="F249" s="121" t="s">
        <v>221</v>
      </c>
      <c r="G249" s="121" t="s">
        <v>222</v>
      </c>
      <c r="H249" s="128" t="s">
        <v>536</v>
      </c>
      <c r="I249" s="128" t="s">
        <v>537</v>
      </c>
      <c r="J249" s="117" t="s">
        <v>223</v>
      </c>
      <c r="K249" s="117" t="s">
        <v>224</v>
      </c>
      <c r="L249" s="117" t="s">
        <v>225</v>
      </c>
      <c r="M249" s="126"/>
    </row>
    <row r="250" spans="2:13">
      <c r="B250" s="56" t="s">
        <v>1021</v>
      </c>
      <c r="C250" s="56">
        <v>13</v>
      </c>
      <c r="D250" s="1"/>
      <c r="E250" s="117">
        <f t="shared" ref="E250:E258" si="58">LOOKUP(B250, ArmorNames, ArmorDensity)</f>
        <v>7.86</v>
      </c>
      <c r="F250" s="117">
        <f t="shared" ref="F250:F258" si="59">LOOKUP(B250, ArmorNames, ArmorKE)</f>
        <v>0.91</v>
      </c>
      <c r="G250" s="117">
        <f t="shared" ref="G250:G258" si="60">LOOKUP(B250, ArmorNames, ArmorHEAT)</f>
        <v>0.91</v>
      </c>
      <c r="H250" s="1">
        <f t="shared" ref="H250:H258" si="61">IF(C250 &gt; 0, IF(LOOKUP(B250,ArmorNames,ArmorModifier) = 1, 1, 3.4383*EXP(-0.006*C250)), 1)</f>
        <v>1</v>
      </c>
      <c r="I250" s="1">
        <f t="shared" ref="I250:I258" si="62">IF(C250&gt;0, IF(LOOKUP(B250,ArmorNames,ArmorModifier)=1, 1, 7.8657*EXP(-0.009*C250)), 1)</f>
        <v>1</v>
      </c>
      <c r="J250" s="122">
        <f>C250 * F250 * H250</f>
        <v>11.83</v>
      </c>
      <c r="K250" s="122">
        <f>C250 * G250 * I250</f>
        <v>11.83</v>
      </c>
      <c r="L250" s="117">
        <f>(C250/10)*C246*E250/1000</f>
        <v>639.69311591427538</v>
      </c>
      <c r="M250" s="1"/>
    </row>
    <row r="251" spans="2:13">
      <c r="B251" s="56" t="s">
        <v>229</v>
      </c>
      <c r="C251" s="56">
        <v>0</v>
      </c>
      <c r="D251" s="1"/>
      <c r="E251" s="117">
        <f t="shared" si="58"/>
        <v>0</v>
      </c>
      <c r="F251" s="117">
        <f t="shared" si="59"/>
        <v>0</v>
      </c>
      <c r="G251" s="117">
        <f t="shared" si="60"/>
        <v>0</v>
      </c>
      <c r="H251" s="1">
        <f t="shared" si="61"/>
        <v>1</v>
      </c>
      <c r="I251" s="1">
        <f t="shared" si="62"/>
        <v>1</v>
      </c>
      <c r="J251" s="122">
        <f t="shared" ref="J251:J258" si="63">C251 * F251 * H251</f>
        <v>0</v>
      </c>
      <c r="K251" s="122">
        <f t="shared" ref="K251:K258" si="64">C251 * G251 * I251</f>
        <v>0</v>
      </c>
      <c r="L251" s="117">
        <f>(C251/10)*C246*E251/1000</f>
        <v>0</v>
      </c>
      <c r="M251" s="1"/>
    </row>
    <row r="252" spans="2:13">
      <c r="B252" s="127" t="s">
        <v>229</v>
      </c>
      <c r="C252" s="56">
        <v>0</v>
      </c>
      <c r="D252" s="1"/>
      <c r="E252" s="117">
        <f t="shared" si="58"/>
        <v>0</v>
      </c>
      <c r="F252" s="117">
        <f t="shared" si="59"/>
        <v>0</v>
      </c>
      <c r="G252" s="117">
        <f t="shared" si="60"/>
        <v>0</v>
      </c>
      <c r="H252" s="1">
        <f t="shared" si="61"/>
        <v>1</v>
      </c>
      <c r="I252" s="1">
        <f t="shared" si="62"/>
        <v>1</v>
      </c>
      <c r="J252" s="122">
        <f t="shared" si="63"/>
        <v>0</v>
      </c>
      <c r="K252" s="122">
        <f t="shared" si="64"/>
        <v>0</v>
      </c>
      <c r="L252" s="117">
        <f>(C252/10)*C246*E252/1000</f>
        <v>0</v>
      </c>
      <c r="M252" s="1"/>
    </row>
    <row r="253" spans="2:13">
      <c r="B253" s="56" t="s">
        <v>229</v>
      </c>
      <c r="C253" s="56">
        <v>0</v>
      </c>
      <c r="D253" s="1"/>
      <c r="E253" s="117">
        <f t="shared" si="58"/>
        <v>0</v>
      </c>
      <c r="F253" s="117">
        <f t="shared" si="59"/>
        <v>0</v>
      </c>
      <c r="G253" s="117">
        <f t="shared" si="60"/>
        <v>0</v>
      </c>
      <c r="H253" s="1">
        <f t="shared" si="61"/>
        <v>1</v>
      </c>
      <c r="I253" s="1">
        <f t="shared" si="62"/>
        <v>1</v>
      </c>
      <c r="J253" s="122">
        <f t="shared" si="63"/>
        <v>0</v>
      </c>
      <c r="K253" s="122">
        <f t="shared" si="64"/>
        <v>0</v>
      </c>
      <c r="L253" s="117">
        <f>(C253/10)*C246*E253/1000</f>
        <v>0</v>
      </c>
      <c r="M253" s="1"/>
    </row>
    <row r="254" spans="2:13">
      <c r="B254" s="56" t="s">
        <v>229</v>
      </c>
      <c r="C254" s="56">
        <v>0</v>
      </c>
      <c r="D254" s="1"/>
      <c r="E254" s="117">
        <f t="shared" si="58"/>
        <v>0</v>
      </c>
      <c r="F254" s="117">
        <f t="shared" si="59"/>
        <v>0</v>
      </c>
      <c r="G254" s="117">
        <f t="shared" si="60"/>
        <v>0</v>
      </c>
      <c r="H254" s="1">
        <f t="shared" si="61"/>
        <v>1</v>
      </c>
      <c r="I254" s="1">
        <f t="shared" si="62"/>
        <v>1</v>
      </c>
      <c r="J254" s="122">
        <f t="shared" si="63"/>
        <v>0</v>
      </c>
      <c r="K254" s="122">
        <f t="shared" si="64"/>
        <v>0</v>
      </c>
      <c r="L254" s="117">
        <f>(C254/10)*C246*E254/1000</f>
        <v>0</v>
      </c>
      <c r="M254" s="1"/>
    </row>
    <row r="255" spans="2:13">
      <c r="B255" s="56" t="s">
        <v>229</v>
      </c>
      <c r="C255" s="56">
        <v>0</v>
      </c>
      <c r="D255" s="1"/>
      <c r="E255" s="117">
        <f t="shared" si="58"/>
        <v>0</v>
      </c>
      <c r="F255" s="117">
        <f t="shared" si="59"/>
        <v>0</v>
      </c>
      <c r="G255" s="117">
        <f t="shared" si="60"/>
        <v>0</v>
      </c>
      <c r="H255" s="1">
        <f t="shared" si="61"/>
        <v>1</v>
      </c>
      <c r="I255" s="1">
        <f t="shared" si="62"/>
        <v>1</v>
      </c>
      <c r="J255" s="122">
        <f t="shared" si="63"/>
        <v>0</v>
      </c>
      <c r="K255" s="122">
        <f t="shared" si="64"/>
        <v>0</v>
      </c>
      <c r="L255" s="117">
        <f>(C255/10)*C246*E255/1000</f>
        <v>0</v>
      </c>
      <c r="M255" s="1"/>
    </row>
    <row r="256" spans="2:13">
      <c r="B256" s="56" t="s">
        <v>229</v>
      </c>
      <c r="C256" s="56">
        <v>0</v>
      </c>
      <c r="D256" s="1"/>
      <c r="E256" s="117">
        <f t="shared" si="58"/>
        <v>0</v>
      </c>
      <c r="F256" s="117">
        <f t="shared" si="59"/>
        <v>0</v>
      </c>
      <c r="G256" s="117">
        <f t="shared" si="60"/>
        <v>0</v>
      </c>
      <c r="H256" s="1">
        <f t="shared" si="61"/>
        <v>1</v>
      </c>
      <c r="I256" s="1">
        <f t="shared" si="62"/>
        <v>1</v>
      </c>
      <c r="J256" s="122">
        <f t="shared" si="63"/>
        <v>0</v>
      </c>
      <c r="K256" s="122">
        <f t="shared" si="64"/>
        <v>0</v>
      </c>
      <c r="L256" s="117">
        <f>(C256/10)*C246*E256/1000</f>
        <v>0</v>
      </c>
      <c r="M256" s="1"/>
    </row>
    <row r="257" spans="2:13">
      <c r="B257" s="56" t="s">
        <v>229</v>
      </c>
      <c r="C257" s="56">
        <v>0</v>
      </c>
      <c r="D257" s="1"/>
      <c r="E257" s="117">
        <f t="shared" si="58"/>
        <v>0</v>
      </c>
      <c r="F257" s="117">
        <f t="shared" si="59"/>
        <v>0</v>
      </c>
      <c r="G257" s="117">
        <f t="shared" si="60"/>
        <v>0</v>
      </c>
      <c r="H257" s="1">
        <f t="shared" si="61"/>
        <v>1</v>
      </c>
      <c r="I257" s="1">
        <f t="shared" si="62"/>
        <v>1</v>
      </c>
      <c r="J257" s="122">
        <f t="shared" si="63"/>
        <v>0</v>
      </c>
      <c r="K257" s="122">
        <f t="shared" si="64"/>
        <v>0</v>
      </c>
      <c r="L257" s="117">
        <f>(C257/10)*C246*E257/1000</f>
        <v>0</v>
      </c>
      <c r="M257" s="1"/>
    </row>
    <row r="258" spans="2:13">
      <c r="B258" s="127" t="s">
        <v>229</v>
      </c>
      <c r="C258" s="127">
        <v>0</v>
      </c>
      <c r="D258" s="1"/>
      <c r="E258" s="117">
        <f t="shared" si="58"/>
        <v>0</v>
      </c>
      <c r="F258" s="117">
        <f t="shared" si="59"/>
        <v>0</v>
      </c>
      <c r="G258" s="117">
        <f t="shared" si="60"/>
        <v>0</v>
      </c>
      <c r="H258" s="1">
        <f t="shared" si="61"/>
        <v>1</v>
      </c>
      <c r="I258" s="1">
        <f t="shared" si="62"/>
        <v>1</v>
      </c>
      <c r="J258" s="122">
        <f t="shared" si="63"/>
        <v>0</v>
      </c>
      <c r="K258" s="122">
        <f t="shared" si="64"/>
        <v>0</v>
      </c>
      <c r="L258" s="117">
        <f>(C258/10)*C246*E258/1000</f>
        <v>0</v>
      </c>
      <c r="M258" s="1"/>
    </row>
    <row r="259" spans="2:13">
      <c r="B259" s="118" t="s">
        <v>230</v>
      </c>
      <c r="C259" s="123">
        <f>SUM(C250:C258)</f>
        <v>13</v>
      </c>
      <c r="E259" s="119"/>
      <c r="F259" s="119"/>
      <c r="G259" s="119"/>
      <c r="J259" s="122">
        <f>SUM(J250:J258)</f>
        <v>11.83</v>
      </c>
      <c r="K259" s="122">
        <f>SUM(K250:K258)</f>
        <v>11.83</v>
      </c>
      <c r="L259" s="117">
        <f>SUM(L250:L258)</f>
        <v>639.69311591427538</v>
      </c>
      <c r="M259" t="s">
        <v>276</v>
      </c>
    </row>
    <row r="260" spans="2:13">
      <c r="B260" s="118"/>
      <c r="C260" s="121"/>
      <c r="D260" s="119"/>
      <c r="E260" s="119"/>
      <c r="I260" s="119" t="s">
        <v>231</v>
      </c>
      <c r="J260" s="56">
        <v>1.1299999999999999</v>
      </c>
      <c r="K260" s="122"/>
      <c r="L260" s="116"/>
      <c r="M260" s="120"/>
    </row>
    <row r="261" spans="2:13">
      <c r="B261" s="118"/>
      <c r="C261" s="121"/>
      <c r="D261" s="119"/>
      <c r="E261" s="119"/>
      <c r="I261" s="119"/>
      <c r="J261" s="117">
        <f>J259*J260</f>
        <v>13.367899999999999</v>
      </c>
      <c r="K261" s="116"/>
      <c r="L261" s="117">
        <f>L259/1000</f>
        <v>0.63969311591427536</v>
      </c>
      <c r="M261" s="120" t="s">
        <v>540</v>
      </c>
    </row>
    <row r="262" spans="2:13" ht="15.75" thickBot="1">
      <c r="B262" s="35"/>
      <c r="C262" s="35"/>
      <c r="D262" s="35"/>
      <c r="E262" s="35"/>
      <c r="F262" s="35"/>
      <c r="G262" s="35"/>
      <c r="H262" s="35"/>
      <c r="I262" s="35"/>
      <c r="J262" s="35"/>
    </row>
    <row r="263" spans="2:13" ht="15.75" thickTop="1">
      <c r="B263" s="16"/>
      <c r="C263" s="19"/>
      <c r="D263" s="19"/>
      <c r="E263" s="19"/>
      <c r="F263" s="19"/>
      <c r="G263" s="14"/>
      <c r="H263" s="14"/>
      <c r="I263" s="14"/>
      <c r="J263" s="23"/>
    </row>
    <row r="264" spans="2:13">
      <c r="B264" s="14" t="s">
        <v>266</v>
      </c>
      <c r="C264" s="52">
        <f>SUM(C266:C270)</f>
        <v>12.240388093766423</v>
      </c>
      <c r="D264" s="14" t="s">
        <v>840</v>
      </c>
      <c r="E264" s="14"/>
      <c r="F264" s="14"/>
      <c r="G264" s="14"/>
      <c r="H264" s="14"/>
      <c r="I264" s="14"/>
      <c r="J264" s="14"/>
    </row>
    <row r="265" spans="2:13">
      <c r="B265" s="14"/>
      <c r="C265" s="47"/>
      <c r="D265" s="14"/>
      <c r="E265" s="14"/>
      <c r="F265" s="14"/>
      <c r="G265" s="14"/>
      <c r="H265" s="14"/>
      <c r="I265" s="14"/>
      <c r="J265" s="14"/>
    </row>
    <row r="266" spans="2:13" ht="15.75">
      <c r="B266" s="14" t="s">
        <v>267</v>
      </c>
      <c r="C266" s="47">
        <f xml:space="preserve"> C87</f>
        <v>2.0362323412923695</v>
      </c>
      <c r="D266" s="14" t="s">
        <v>840</v>
      </c>
      <c r="E266" s="46"/>
      <c r="F266" s="46"/>
      <c r="G266" s="14"/>
      <c r="H266" s="14"/>
      <c r="I266" s="14"/>
      <c r="J266" s="14"/>
    </row>
    <row r="267" spans="2:13">
      <c r="B267" s="14" t="s">
        <v>268</v>
      </c>
      <c r="C267" s="47">
        <f xml:space="preserve"> D155</f>
        <v>6.5968685010164378</v>
      </c>
      <c r="D267" s="14" t="s">
        <v>840</v>
      </c>
      <c r="E267" s="14"/>
      <c r="F267" s="14"/>
      <c r="G267" s="14"/>
      <c r="H267" s="14"/>
      <c r="I267" s="14"/>
      <c r="J267" s="14"/>
    </row>
    <row r="268" spans="2:13">
      <c r="B268" s="14" t="s">
        <v>269</v>
      </c>
      <c r="C268" s="47">
        <f xml:space="preserve"> C214</f>
        <v>1.6855093372264962</v>
      </c>
      <c r="D268" s="14" t="s">
        <v>840</v>
      </c>
      <c r="E268" s="14"/>
      <c r="F268" s="14"/>
      <c r="G268" s="14"/>
      <c r="H268" s="14"/>
      <c r="I268" s="14"/>
      <c r="J268" s="14"/>
    </row>
    <row r="269" spans="2:13">
      <c r="B269" s="14" t="s">
        <v>270</v>
      </c>
      <c r="C269" s="47">
        <f xml:space="preserve"> L238</f>
        <v>1.2820847983168462</v>
      </c>
      <c r="D269" s="14" t="s">
        <v>840</v>
      </c>
      <c r="E269" s="14"/>
      <c r="F269" s="14"/>
      <c r="G269" s="14"/>
      <c r="H269" s="14"/>
      <c r="I269" s="14"/>
      <c r="J269" s="14"/>
    </row>
    <row r="270" spans="2:13">
      <c r="B270" s="14" t="s">
        <v>271</v>
      </c>
      <c r="C270" s="47">
        <f xml:space="preserve"> L261</f>
        <v>0.63969311591427536</v>
      </c>
      <c r="D270" s="14" t="s">
        <v>840</v>
      </c>
      <c r="E270" s="14"/>
      <c r="F270" s="14"/>
      <c r="G270" s="14"/>
      <c r="H270" s="14"/>
      <c r="I270" s="14"/>
      <c r="J270" s="14"/>
    </row>
    <row r="271" spans="2:13">
      <c r="B271" s="14"/>
      <c r="C271" s="47"/>
      <c r="D271" s="14"/>
      <c r="E271" s="14"/>
      <c r="F271" s="14"/>
      <c r="G271" s="14"/>
      <c r="H271" s="14"/>
      <c r="I271" s="14"/>
      <c r="J271" s="14"/>
    </row>
    <row r="272" spans="2:13">
      <c r="B272" s="17" t="s">
        <v>272</v>
      </c>
      <c r="C272" s="53">
        <v>1</v>
      </c>
      <c r="D272" s="19" t="s">
        <v>273</v>
      </c>
      <c r="E272" s="14"/>
      <c r="F272" s="14"/>
      <c r="G272" s="14"/>
      <c r="H272" s="14"/>
      <c r="I272" s="14"/>
      <c r="J272" s="14"/>
    </row>
    <row r="273" spans="2:10">
      <c r="B273" s="17" t="s">
        <v>274</v>
      </c>
      <c r="C273" s="53">
        <v>0</v>
      </c>
      <c r="D273" s="19" t="s">
        <v>273</v>
      </c>
      <c r="E273" s="14"/>
      <c r="F273" s="14"/>
      <c r="G273" s="14"/>
      <c r="H273" s="14"/>
      <c r="I273" s="14"/>
      <c r="J273" s="14"/>
    </row>
    <row r="274" spans="2:10">
      <c r="B274" s="20" t="s">
        <v>275</v>
      </c>
      <c r="C274" s="47">
        <f xml:space="preserve"> C272 * 180</f>
        <v>180</v>
      </c>
      <c r="D274" s="14" t="s">
        <v>276</v>
      </c>
      <c r="E274" s="14"/>
      <c r="F274" s="14"/>
      <c r="G274" s="14"/>
      <c r="H274" s="14"/>
      <c r="I274" s="14"/>
      <c r="J274" s="14"/>
    </row>
    <row r="275" spans="2:10">
      <c r="B275" s="20" t="s">
        <v>277</v>
      </c>
      <c r="C275" s="47">
        <f xml:space="preserve"> C273 * 180</f>
        <v>0</v>
      </c>
      <c r="D275" s="14" t="s">
        <v>276</v>
      </c>
      <c r="E275" s="14"/>
      <c r="F275" s="14"/>
      <c r="G275" s="14"/>
      <c r="H275" s="14"/>
      <c r="I275" s="14"/>
      <c r="J275" s="14"/>
    </row>
    <row r="276" spans="2:10">
      <c r="B276" s="20" t="s">
        <v>278</v>
      </c>
      <c r="C276" s="47">
        <f xml:space="preserve"> C274 + C275</f>
        <v>180</v>
      </c>
      <c r="D276" s="14" t="s">
        <v>276</v>
      </c>
      <c r="E276" s="14"/>
      <c r="F276" s="14"/>
      <c r="G276" s="14"/>
      <c r="H276" s="14"/>
      <c r="I276" s="14"/>
      <c r="J276" s="14"/>
    </row>
    <row r="277" spans="2:10">
      <c r="B277" s="20" t="s">
        <v>279</v>
      </c>
      <c r="C277" s="47">
        <f xml:space="preserve"> (C272 + C273) * 0.7570823568</f>
        <v>0.75708235680000002</v>
      </c>
      <c r="D277" s="14" t="s">
        <v>255</v>
      </c>
      <c r="E277" s="14"/>
      <c r="F277" s="14"/>
      <c r="G277" s="14"/>
      <c r="H277" s="14"/>
      <c r="I277" s="14"/>
      <c r="J277" s="14"/>
    </row>
    <row r="278" spans="2:10">
      <c r="B278" s="14" t="s">
        <v>280</v>
      </c>
      <c r="C278" s="47">
        <v>0</v>
      </c>
      <c r="D278" s="14" t="s">
        <v>840</v>
      </c>
      <c r="E278" s="14"/>
      <c r="F278" s="14"/>
      <c r="G278" s="14"/>
      <c r="H278" s="14"/>
      <c r="I278" s="14"/>
      <c r="J278" s="14"/>
    </row>
    <row r="279" spans="2:10">
      <c r="B279" s="14" t="s">
        <v>281</v>
      </c>
      <c r="C279" s="47">
        <v>0</v>
      </c>
      <c r="D279" s="14" t="s">
        <v>840</v>
      </c>
      <c r="E279" s="14"/>
      <c r="F279" s="14"/>
      <c r="G279" s="14"/>
      <c r="H279" s="14"/>
      <c r="I279" s="14"/>
      <c r="J279" s="14"/>
    </row>
    <row r="280" spans="2:10">
      <c r="B280" s="14"/>
      <c r="C280" s="47"/>
      <c r="D280" s="14"/>
      <c r="E280" s="14"/>
      <c r="F280" s="14"/>
      <c r="G280" s="14"/>
      <c r="H280" s="14"/>
      <c r="I280" s="14"/>
      <c r="J280" s="14"/>
    </row>
    <row r="281" spans="2:10">
      <c r="B281" s="20" t="s">
        <v>282</v>
      </c>
      <c r="C281" s="47">
        <f xml:space="preserve"> K5</f>
        <v>15.728120338527876</v>
      </c>
      <c r="D281" s="14" t="s">
        <v>255</v>
      </c>
      <c r="E281" s="14"/>
      <c r="F281" s="14"/>
      <c r="G281" s="14"/>
      <c r="H281" s="14"/>
      <c r="I281" s="14"/>
      <c r="J281" s="14"/>
    </row>
    <row r="282" spans="2:10">
      <c r="B282" s="20" t="s">
        <v>283</v>
      </c>
      <c r="C282" s="47">
        <f xml:space="preserve"> C35 + C60 + C97 + C119 + C165 + C188 + C224 + C247</f>
        <v>1.5573012841942016</v>
      </c>
      <c r="D282" s="14" t="s">
        <v>255</v>
      </c>
      <c r="E282" s="14"/>
      <c r="F282" s="14"/>
      <c r="G282" s="14"/>
      <c r="H282" s="14"/>
      <c r="I282" s="14"/>
      <c r="J282" s="14"/>
    </row>
    <row r="283" spans="2:10">
      <c r="B283" s="20" t="s">
        <v>284</v>
      </c>
      <c r="C283" s="47">
        <f xml:space="preserve"> C281 - C282</f>
        <v>14.170819054333675</v>
      </c>
      <c r="D283" s="14" t="s">
        <v>255</v>
      </c>
    </row>
    <row r="284" spans="2:10" ht="26.25">
      <c r="B284" s="20" t="s">
        <v>285</v>
      </c>
      <c r="C284" s="47">
        <f xml:space="preserve"> C277</f>
        <v>0.75708235680000002</v>
      </c>
      <c r="D284" s="14" t="s">
        <v>255</v>
      </c>
    </row>
    <row r="285" spans="2:10">
      <c r="B285" s="20" t="s">
        <v>286</v>
      </c>
      <c r="C285" s="47">
        <f xml:space="preserve"> Engine!E22</f>
        <v>0.53326061613559317</v>
      </c>
      <c r="D285" s="14" t="s">
        <v>255</v>
      </c>
      <c r="E285" s="78"/>
    </row>
    <row r="286" spans="2:10">
      <c r="B286" s="20" t="s">
        <v>287</v>
      </c>
      <c r="C286" s="47">
        <f xml:space="preserve"> (Engine!C10 + Engine!C16) * 1.5</f>
        <v>1.7267199327016298</v>
      </c>
      <c r="D286" s="14" t="s">
        <v>255</v>
      </c>
      <c r="E286" s="78"/>
    </row>
    <row r="287" spans="2:10" ht="26.25">
      <c r="B287" s="20" t="s">
        <v>288</v>
      </c>
      <c r="C287" s="47">
        <f xml:space="preserve"> Engine!C37 * 1.5</f>
        <v>1.0972871343790769</v>
      </c>
      <c r="D287" s="14" t="s">
        <v>255</v>
      </c>
      <c r="E287" s="78"/>
    </row>
    <row r="288" spans="2:10" ht="26.25">
      <c r="B288" s="20" t="s">
        <v>289</v>
      </c>
      <c r="C288" s="47">
        <f xml:space="preserve"> 'Turret Design'!C165 * 1.25</f>
        <v>5.4118842196605419</v>
      </c>
      <c r="D288" s="14" t="s">
        <v>255</v>
      </c>
    </row>
    <row r="289" spans="2:4" ht="26.25">
      <c r="B289" s="20" t="s">
        <v>290</v>
      </c>
      <c r="C289" s="47">
        <f xml:space="preserve"> 'Small Guns'!B17 + 'Big Gun'!B69 + 'Big Gun'!B143</f>
        <v>2.8906250000000001E-2</v>
      </c>
      <c r="D289" s="14" t="s">
        <v>255</v>
      </c>
    </row>
    <row r="290" spans="2:4">
      <c r="B290" s="14" t="s">
        <v>291</v>
      </c>
      <c r="C290" s="47">
        <f xml:space="preserve"> 'Small Guns'!B8 + 'Big Gun'!B45 + 'Big Gun'!B119</f>
        <v>0.01</v>
      </c>
      <c r="D290" s="14" t="s">
        <v>255</v>
      </c>
    </row>
    <row r="291" spans="2:4">
      <c r="B291" s="210" t="s">
        <v>776</v>
      </c>
      <c r="C291" s="215">
        <f xml:space="preserve"> (Misc!B15 / 2) + Misc!B22 + Misc!B19</f>
        <v>0.12723276652218879</v>
      </c>
      <c r="D291" s="210" t="s">
        <v>255</v>
      </c>
    </row>
    <row r="292" spans="2:4">
      <c r="B292" s="14" t="s">
        <v>292</v>
      </c>
      <c r="C292" s="47">
        <f>C283 - SUM(C284:C291)</f>
        <v>4.4784457781346454</v>
      </c>
      <c r="D292" s="14" t="s">
        <v>255</v>
      </c>
    </row>
  </sheetData>
  <mergeCells count="2">
    <mergeCell ref="I2:J2"/>
    <mergeCell ref="I3:J3"/>
  </mergeCells>
  <dataValidations count="2">
    <dataValidation type="list" allowBlank="1" showInputMessage="1" showErrorMessage="1" sqref="B40:B48 B63:B71 B100:B108 B122:B130 B140:B144 B168:B176 B191:B199 B227:B235 B250:B258">
      <formula1>ArmorNames</formula1>
    </dataValidation>
    <dataValidation type="list" allowBlank="1" showInputMessage="1" showErrorMessage="1" sqref="C28">
      <formula1>"Curved, Flat"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75"/>
  <sheetViews>
    <sheetView topLeftCell="A7" zoomScaleNormal="100" workbookViewId="0">
      <selection activeCell="L20" sqref="L20"/>
    </sheetView>
  </sheetViews>
  <sheetFormatPr defaultRowHeight="15"/>
  <cols>
    <col min="1" max="1" width="2.85546875" style="4" customWidth="1"/>
    <col min="2" max="2" width="40" style="4" customWidth="1"/>
    <col min="3" max="3" width="15" style="4" customWidth="1"/>
    <col min="4" max="4" width="8.5703125" style="4" customWidth="1"/>
    <col min="5" max="5" width="15" style="4" customWidth="1"/>
    <col min="6" max="6" width="13.5703125" style="4" customWidth="1"/>
    <col min="7" max="7" width="15.7109375" style="4" customWidth="1"/>
    <col min="8" max="8" width="10.7109375" style="4" customWidth="1"/>
    <col min="9" max="10" width="11.42578125" style="4" customWidth="1"/>
    <col min="11" max="11" width="12.85546875" style="4" customWidth="1"/>
    <col min="12" max="12" width="16.42578125" style="4" customWidth="1"/>
    <col min="13" max="13" width="3.5703125" style="4" customWidth="1"/>
    <col min="14" max="14" width="15" style="4" customWidth="1"/>
    <col min="15" max="15" width="9.140625" style="4"/>
    <col min="16" max="16" width="4.42578125" style="4" customWidth="1"/>
    <col min="17" max="18" width="14.28515625" style="4" customWidth="1"/>
    <col min="19" max="16384" width="9.140625" style="4"/>
  </cols>
  <sheetData>
    <row r="1" spans="2:17">
      <c r="B1" s="154" t="s">
        <v>579</v>
      </c>
      <c r="C1" s="166">
        <v>175</v>
      </c>
      <c r="D1" s="154" t="s">
        <v>212</v>
      </c>
      <c r="E1" s="156"/>
      <c r="F1" s="156"/>
      <c r="G1" s="132"/>
      <c r="H1" s="132"/>
      <c r="I1" s="132"/>
      <c r="J1" s="169"/>
      <c r="K1" s="170"/>
      <c r="L1" s="170"/>
      <c r="M1" s="171"/>
      <c r="N1" s="171"/>
      <c r="O1" s="156"/>
      <c r="P1" s="156"/>
      <c r="Q1" s="156"/>
    </row>
    <row r="2" spans="2:17">
      <c r="B2" s="157" t="s">
        <v>262</v>
      </c>
      <c r="C2" s="148">
        <f xml:space="preserve"> (C1 / 2)^2 * PI()</f>
        <v>24052.818754046853</v>
      </c>
      <c r="D2" s="157" t="s">
        <v>216</v>
      </c>
      <c r="E2" s="156"/>
      <c r="F2" s="156"/>
      <c r="G2" s="156"/>
      <c r="H2" s="132"/>
      <c r="I2" s="132"/>
      <c r="J2" s="169"/>
      <c r="K2" s="170"/>
      <c r="L2" s="170"/>
      <c r="M2" s="171"/>
      <c r="N2" s="169"/>
      <c r="O2" s="156"/>
      <c r="P2" s="156"/>
      <c r="Q2" s="156"/>
    </row>
    <row r="3" spans="2:17">
      <c r="B3" s="157" t="s">
        <v>580</v>
      </c>
      <c r="C3" s="166">
        <v>1.8</v>
      </c>
      <c r="D3" s="154" t="s">
        <v>297</v>
      </c>
      <c r="E3" s="156"/>
      <c r="F3" s="167">
        <v>12</v>
      </c>
      <c r="G3" s="154" t="s">
        <v>581</v>
      </c>
      <c r="H3" s="132"/>
      <c r="I3" s="132"/>
      <c r="J3" s="169"/>
      <c r="K3" s="170"/>
      <c r="L3" s="170"/>
      <c r="M3" s="171"/>
      <c r="N3" s="169"/>
      <c r="O3" s="158"/>
      <c r="P3" s="156"/>
      <c r="Q3" s="156"/>
    </row>
    <row r="4" spans="2:17">
      <c r="B4" s="154" t="s">
        <v>727</v>
      </c>
      <c r="C4" s="208" t="s">
        <v>732</v>
      </c>
      <c r="D4" s="157"/>
      <c r="E4" s="156"/>
      <c r="F4" s="157">
        <f xml:space="preserve"> F3 / 'Hull Design'!G2</f>
        <v>30.480000031089599</v>
      </c>
      <c r="G4" s="157" t="s">
        <v>212</v>
      </c>
      <c r="H4" s="132"/>
      <c r="I4" s="132"/>
      <c r="J4" s="169"/>
      <c r="K4" s="170"/>
      <c r="L4" s="170"/>
      <c r="M4" s="171"/>
      <c r="N4" s="169"/>
      <c r="O4" s="158"/>
      <c r="P4" s="156"/>
      <c r="Q4" s="156"/>
    </row>
    <row r="5" spans="2:17">
      <c r="B5" s="154" t="s">
        <v>582</v>
      </c>
      <c r="C5" s="166">
        <v>1.75</v>
      </c>
      <c r="D5" s="154" t="s">
        <v>297</v>
      </c>
      <c r="E5" s="156"/>
      <c r="F5" s="156"/>
      <c r="G5" s="132"/>
      <c r="H5" s="132"/>
      <c r="I5" s="132"/>
      <c r="J5" s="169"/>
      <c r="K5" s="171"/>
      <c r="L5" s="171"/>
      <c r="M5" s="171"/>
      <c r="N5" s="169"/>
      <c r="O5" s="158"/>
      <c r="P5" s="137"/>
      <c r="Q5" s="158"/>
    </row>
    <row r="6" spans="2:17">
      <c r="B6" s="147" t="s">
        <v>583</v>
      </c>
      <c r="C6" s="150">
        <f xml:space="preserve"> C5 - (2 * O34 * TAN(RADIANS(C62)))</f>
        <v>1.5006623535843917</v>
      </c>
      <c r="D6" s="147" t="s">
        <v>297</v>
      </c>
      <c r="E6" s="156"/>
      <c r="F6" s="156"/>
      <c r="G6" s="132"/>
      <c r="H6" s="132"/>
      <c r="I6" s="132"/>
      <c r="J6" s="170"/>
      <c r="K6" s="171"/>
      <c r="L6" s="171"/>
      <c r="M6" s="171"/>
      <c r="N6" s="171"/>
      <c r="O6" s="158"/>
      <c r="P6" s="137"/>
      <c r="Q6" s="158"/>
    </row>
    <row r="7" spans="2:17">
      <c r="B7" s="154" t="s">
        <v>584</v>
      </c>
      <c r="C7" s="166">
        <v>0.54</v>
      </c>
      <c r="D7" s="154" t="s">
        <v>297</v>
      </c>
      <c r="E7" s="156"/>
      <c r="F7" s="156"/>
      <c r="G7" s="132"/>
      <c r="H7" s="132"/>
      <c r="I7" s="132"/>
      <c r="J7" s="170"/>
      <c r="K7" s="171"/>
      <c r="L7" s="171"/>
      <c r="M7" s="171"/>
      <c r="N7" s="171"/>
      <c r="O7" s="156"/>
      <c r="P7" s="137"/>
      <c r="Q7" s="156"/>
    </row>
    <row r="8" spans="2:17">
      <c r="B8" s="154" t="s">
        <v>585</v>
      </c>
      <c r="C8" s="166">
        <v>1.75</v>
      </c>
      <c r="D8" s="154" t="s">
        <v>297</v>
      </c>
      <c r="E8" s="156"/>
      <c r="F8" s="156"/>
      <c r="G8" s="132"/>
      <c r="H8" s="132"/>
      <c r="I8" s="132"/>
      <c r="J8" s="170"/>
      <c r="K8" s="171"/>
      <c r="L8" s="171"/>
      <c r="M8" s="171"/>
      <c r="N8" s="171"/>
      <c r="O8" s="156"/>
      <c r="P8" s="137"/>
      <c r="Q8" s="158"/>
    </row>
    <row r="9" spans="2:17">
      <c r="B9" s="147" t="s">
        <v>586</v>
      </c>
      <c r="C9" s="150">
        <f xml:space="preserve"> C8 - C10 - C11</f>
        <v>1.21</v>
      </c>
      <c r="D9" s="147" t="s">
        <v>297</v>
      </c>
      <c r="E9" s="156"/>
      <c r="F9" s="156"/>
      <c r="G9" s="132"/>
      <c r="H9" s="132"/>
      <c r="I9" s="132"/>
      <c r="J9" s="170"/>
      <c r="K9" s="171"/>
      <c r="L9" s="171"/>
      <c r="M9" s="171"/>
      <c r="N9" s="172"/>
      <c r="O9" s="156"/>
      <c r="P9" s="137"/>
      <c r="Q9" s="158"/>
    </row>
    <row r="10" spans="2:17">
      <c r="B10" s="147" t="s">
        <v>587</v>
      </c>
      <c r="C10" s="150">
        <f xml:space="preserve"> R33</f>
        <v>0.53999999999999992</v>
      </c>
      <c r="D10" s="147" t="s">
        <v>297</v>
      </c>
      <c r="E10" s="156"/>
      <c r="F10" s="156"/>
      <c r="G10" s="132"/>
      <c r="H10" s="132"/>
      <c r="I10" s="132"/>
      <c r="J10" s="170"/>
      <c r="K10" s="171"/>
      <c r="L10" s="171"/>
      <c r="M10" s="171"/>
      <c r="N10" s="171"/>
      <c r="O10" s="156"/>
      <c r="P10" s="137"/>
      <c r="Q10" s="158"/>
    </row>
    <row r="11" spans="2:17">
      <c r="B11" s="147" t="s">
        <v>588</v>
      </c>
      <c r="C11" s="150">
        <v>0</v>
      </c>
      <c r="D11" s="147" t="s">
        <v>297</v>
      </c>
      <c r="E11" s="156"/>
      <c r="F11" s="156"/>
      <c r="G11" s="132"/>
      <c r="H11" s="132"/>
      <c r="I11" s="132"/>
      <c r="J11" s="156"/>
      <c r="K11" s="156"/>
      <c r="L11" s="156"/>
      <c r="M11" s="156"/>
      <c r="N11" s="137"/>
      <c r="O11" s="158"/>
      <c r="P11" s="137"/>
      <c r="Q11" s="158"/>
    </row>
    <row r="12" spans="2:17">
      <c r="B12" s="147"/>
      <c r="C12" s="147"/>
      <c r="D12" s="147"/>
      <c r="E12" s="156"/>
      <c r="F12" s="156"/>
      <c r="G12" s="132"/>
      <c r="H12" s="132"/>
      <c r="I12" s="132"/>
      <c r="J12" s="156"/>
      <c r="K12" s="156"/>
      <c r="L12" s="156"/>
      <c r="M12" s="156"/>
      <c r="N12" s="137"/>
      <c r="O12" s="156"/>
      <c r="P12" s="137"/>
      <c r="Q12" s="158"/>
    </row>
    <row r="13" spans="2:17">
      <c r="B13" s="156" t="s">
        <v>203</v>
      </c>
      <c r="C13" s="157"/>
      <c r="D13" s="157"/>
      <c r="E13" s="156"/>
      <c r="F13" s="156"/>
      <c r="G13" s="132"/>
      <c r="H13" s="132"/>
      <c r="I13" s="132"/>
      <c r="J13" s="156"/>
      <c r="K13" s="156"/>
      <c r="L13" s="156"/>
      <c r="M13" s="156"/>
      <c r="Q13" s="158"/>
    </row>
    <row r="14" spans="2:17">
      <c r="B14" s="156" t="s">
        <v>204</v>
      </c>
      <c r="C14" s="157"/>
      <c r="D14" s="157"/>
      <c r="E14" s="156"/>
      <c r="F14" s="156"/>
      <c r="G14" s="132"/>
      <c r="H14" s="132"/>
      <c r="I14" s="132"/>
      <c r="J14" s="156"/>
      <c r="K14" s="156"/>
      <c r="L14" s="156"/>
      <c r="M14" s="156"/>
      <c r="N14" s="158"/>
      <c r="O14" s="156"/>
      <c r="P14" s="156"/>
      <c r="Q14" s="156"/>
    </row>
    <row r="15" spans="2:17">
      <c r="B15" s="156"/>
      <c r="C15" s="157"/>
      <c r="D15" s="157"/>
      <c r="E15" s="156"/>
      <c r="F15" s="156"/>
      <c r="G15" s="255"/>
      <c r="H15" s="255"/>
      <c r="I15" s="255"/>
      <c r="J15" s="156"/>
      <c r="K15" s="156"/>
      <c r="L15" s="156"/>
      <c r="M15" s="156"/>
      <c r="N15" s="158"/>
      <c r="O15" s="156"/>
      <c r="P15" s="156"/>
      <c r="Q15" s="156"/>
    </row>
    <row r="16" spans="2:17">
      <c r="B16" s="230" t="s">
        <v>873</v>
      </c>
      <c r="C16" s="267">
        <v>0.5</v>
      </c>
      <c r="D16" s="154" t="s">
        <v>874</v>
      </c>
      <c r="E16" s="156"/>
      <c r="F16" s="156"/>
      <c r="G16" s="255"/>
      <c r="H16" s="255"/>
      <c r="I16" s="255"/>
      <c r="J16" s="156"/>
      <c r="K16" s="156"/>
      <c r="L16" s="156"/>
      <c r="M16" s="156"/>
      <c r="N16" s="158"/>
      <c r="O16" s="156"/>
      <c r="P16" s="156"/>
      <c r="Q16" s="156"/>
    </row>
    <row r="17" spans="2:17">
      <c r="B17" s="230" t="s">
        <v>887</v>
      </c>
      <c r="C17" s="266">
        <f xml:space="preserve"> IF(F17 &gt; F19, F19, F17)</f>
        <v>55.635892793293038</v>
      </c>
      <c r="D17" s="154" t="s">
        <v>210</v>
      </c>
      <c r="E17" s="156">
        <f xml:space="preserve"> (TurretHeight * 1000 * C16) - ('Big Gun'!B24 / 2)</f>
        <v>228.76999999999998</v>
      </c>
      <c r="F17" s="156">
        <f xml:space="preserve"> DEGREES(ATAN(E17 / (C34 * 1000 + 1)))</f>
        <v>89.749550139473769</v>
      </c>
      <c r="G17" s="255" t="s">
        <v>875</v>
      </c>
      <c r="H17" s="255"/>
      <c r="I17" s="255"/>
      <c r="J17" s="156"/>
      <c r="K17" s="156"/>
      <c r="L17" s="156"/>
      <c r="M17" s="156"/>
      <c r="N17" s="158"/>
      <c r="O17" s="156"/>
      <c r="P17" s="156"/>
      <c r="Q17" s="156"/>
    </row>
    <row r="18" spans="2:17">
      <c r="B18" s="230" t="s">
        <v>888</v>
      </c>
      <c r="C18" s="266">
        <f xml:space="preserve"> -IF(F18 &lt; F19, F18, F19)</f>
        <v>-11.517478295602345</v>
      </c>
      <c r="D18" s="154" t="s">
        <v>210</v>
      </c>
      <c r="E18" s="156">
        <f xml:space="preserve"> (TurretHeight * 1000 * (1 - C16)) - ((C134 + C148) / 2) - ('Big Gun'!B24 / 2)</f>
        <v>203.76999999999998</v>
      </c>
      <c r="F18" s="156">
        <f xml:space="preserve"> DEGREES(ATAN(E18 / 1000))</f>
        <v>11.517478295602345</v>
      </c>
      <c r="G18" s="255" t="s">
        <v>871</v>
      </c>
      <c r="H18" s="255"/>
      <c r="I18" s="255"/>
      <c r="J18" s="156"/>
      <c r="K18" s="156"/>
      <c r="L18" s="156"/>
      <c r="M18" s="156"/>
      <c r="N18" s="158"/>
      <c r="O18" s="156"/>
      <c r="P18" s="156"/>
      <c r="Q18" s="156"/>
    </row>
    <row r="19" spans="2:17">
      <c r="B19" s="156"/>
      <c r="C19" s="157"/>
      <c r="D19" s="157"/>
      <c r="E19" s="156"/>
      <c r="F19" s="156">
        <f xml:space="preserve"> DEGREES(ATAN(RADIANS(90 - (C52 / (0.125 * 'Big Gun'!B24)))))</f>
        <v>55.635892793293038</v>
      </c>
      <c r="G19" s="225" t="s">
        <v>872</v>
      </c>
      <c r="H19" s="225"/>
      <c r="I19" s="225"/>
      <c r="J19" s="156"/>
      <c r="K19" s="156"/>
      <c r="L19" s="156"/>
      <c r="M19" s="156"/>
      <c r="N19" s="158"/>
      <c r="O19" s="156"/>
      <c r="P19" s="156"/>
      <c r="Q19" s="156"/>
    </row>
    <row r="20" spans="2:17" ht="15.75">
      <c r="B20" s="159" t="s">
        <v>856</v>
      </c>
      <c r="C20" s="157"/>
      <c r="D20" s="157"/>
      <c r="E20" s="156"/>
      <c r="F20" s="156"/>
      <c r="G20" s="225"/>
      <c r="H20" s="225"/>
      <c r="I20" s="225"/>
      <c r="J20" s="156"/>
      <c r="K20" s="156"/>
      <c r="L20" s="156"/>
      <c r="M20" s="156"/>
      <c r="N20" s="158"/>
      <c r="O20" s="156"/>
      <c r="P20" s="156"/>
      <c r="Q20" s="156"/>
    </row>
    <row r="21" spans="2:17">
      <c r="B21" s="230" t="s">
        <v>866</v>
      </c>
      <c r="C21" s="152" t="s">
        <v>1026</v>
      </c>
      <c r="D21" s="157"/>
      <c r="E21" s="156"/>
      <c r="F21" s="156"/>
      <c r="G21" s="255"/>
      <c r="I21" s="264">
        <f xml:space="preserve"> IF(C22 &gt; 0, (C22/2) + (C25^2 / (8 * C22)), 0)</f>
        <v>0.25000000000000006</v>
      </c>
      <c r="J21" s="270" t="s">
        <v>878</v>
      </c>
      <c r="K21" s="156"/>
      <c r="L21" s="156"/>
      <c r="M21" s="156"/>
      <c r="N21" s="158"/>
      <c r="O21" s="156"/>
      <c r="P21" s="156"/>
      <c r="Q21" s="156"/>
    </row>
    <row r="22" spans="2:17">
      <c r="B22" s="230" t="s">
        <v>868</v>
      </c>
      <c r="C22" s="152">
        <v>0.1</v>
      </c>
      <c r="D22" s="154" t="s">
        <v>297</v>
      </c>
      <c r="E22" s="156" t="s">
        <v>880</v>
      </c>
      <c r="F22" s="156"/>
      <c r="G22" s="255"/>
      <c r="I22" s="232">
        <f xml:space="preserve"> IF( I21 &gt; C22, 2 * ATAN((4 * C25 * C22) / (C25^2 - (4 * C22^2))), PI())</f>
        <v>1.8545904360032244</v>
      </c>
      <c r="J22" s="156" t="s">
        <v>876</v>
      </c>
      <c r="K22" s="156"/>
      <c r="L22" s="156"/>
      <c r="M22" s="156"/>
      <c r="N22" s="158"/>
      <c r="O22" s="156"/>
      <c r="P22" s="156"/>
      <c r="Q22" s="156"/>
    </row>
    <row r="23" spans="2:17">
      <c r="B23" s="230" t="s">
        <v>867</v>
      </c>
      <c r="C23" s="152">
        <v>0</v>
      </c>
      <c r="D23" s="154" t="s">
        <v>297</v>
      </c>
      <c r="E23" s="156" t="s">
        <v>869</v>
      </c>
      <c r="F23" s="156"/>
      <c r="G23" s="255"/>
      <c r="I23" s="232">
        <f xml:space="preserve"> DEGREES(I22)</f>
        <v>106.26020470831196</v>
      </c>
      <c r="J23" s="102" t="s">
        <v>881</v>
      </c>
      <c r="K23" s="156"/>
      <c r="L23" s="156"/>
      <c r="M23" s="156"/>
      <c r="N23" s="158"/>
      <c r="O23" s="156"/>
      <c r="P23" s="156"/>
      <c r="Q23" s="156"/>
    </row>
    <row r="24" spans="2:17">
      <c r="B24" s="230" t="s">
        <v>857</v>
      </c>
      <c r="C24" s="152">
        <v>0.6</v>
      </c>
      <c r="D24" s="154" t="s">
        <v>297</v>
      </c>
      <c r="E24" s="156" t="s">
        <v>870</v>
      </c>
      <c r="F24" s="156"/>
      <c r="G24" s="225"/>
      <c r="I24" s="232">
        <f xml:space="preserve"> I21 * I22</f>
        <v>0.4636476090008062</v>
      </c>
      <c r="J24" s="102" t="s">
        <v>877</v>
      </c>
      <c r="K24" s="156"/>
      <c r="L24" s="156"/>
      <c r="M24" s="156"/>
      <c r="N24" s="158"/>
      <c r="O24" s="156"/>
      <c r="P24" s="156"/>
      <c r="Q24" s="156"/>
    </row>
    <row r="25" spans="2:17">
      <c r="B25" s="230" t="s">
        <v>858</v>
      </c>
      <c r="C25" s="152">
        <v>0.4</v>
      </c>
      <c r="D25" s="154" t="s">
        <v>297</v>
      </c>
      <c r="E25" s="156" t="s">
        <v>870</v>
      </c>
      <c r="F25" s="156"/>
      <c r="G25" s="225"/>
      <c r="I25" s="232">
        <f xml:space="preserve"> I24 * C24</f>
        <v>0.2781885654004837</v>
      </c>
      <c r="J25" s="102" t="s">
        <v>879</v>
      </c>
      <c r="K25" s="156"/>
      <c r="L25" s="156"/>
      <c r="M25" s="156"/>
      <c r="N25" s="158"/>
      <c r="O25" s="156"/>
      <c r="P25" s="156"/>
      <c r="Q25" s="156"/>
    </row>
    <row r="26" spans="2:17">
      <c r="B26" s="228" t="s">
        <v>215</v>
      </c>
      <c r="C26" s="304">
        <f xml:space="preserve"> IF(C21 = "Flat", C24 * C25, IF(C21 = "Circular", C23^2 * PI(), I24 * C24)) * 100^2</f>
        <v>2781.8856540048369</v>
      </c>
      <c r="D26" s="157" t="s">
        <v>216</v>
      </c>
      <c r="E26" s="156"/>
      <c r="F26" s="156"/>
      <c r="G26" s="225"/>
      <c r="H26" s="225"/>
      <c r="I26" s="302">
        <f xml:space="preserve"> 90 - (I23 / 2)</f>
        <v>36.86989764584402</v>
      </c>
      <c r="J26" s="156" t="s">
        <v>885</v>
      </c>
      <c r="K26" s="156"/>
      <c r="L26" s="156"/>
      <c r="M26" s="156"/>
      <c r="N26" s="158"/>
      <c r="O26" s="156"/>
      <c r="P26" s="156"/>
      <c r="Q26" s="156"/>
    </row>
    <row r="27" spans="2:17">
      <c r="B27" s="228" t="s">
        <v>205</v>
      </c>
      <c r="C27" s="304">
        <f xml:space="preserve"> IF(C21 = "Curved", (C26 * C31 / 10) + ((C31 / 10)^2 / TAN((PI() - I22) / 2)), C26 * C31 / 10)</f>
        <v>24864.395653976382</v>
      </c>
      <c r="D27" s="157" t="s">
        <v>558</v>
      </c>
      <c r="E27" s="156">
        <f xml:space="preserve"> C27 / 1000^3</f>
        <v>2.4864395653976383E-5</v>
      </c>
      <c r="F27" s="156" t="s">
        <v>255</v>
      </c>
      <c r="G27" s="268"/>
      <c r="H27" s="268"/>
      <c r="I27" s="269"/>
      <c r="J27" s="156"/>
      <c r="K27" s="156"/>
      <c r="L27" s="156"/>
      <c r="M27" s="156"/>
      <c r="N27" s="158"/>
      <c r="O27" s="156"/>
      <c r="P27" s="156"/>
      <c r="Q27" s="156"/>
    </row>
    <row r="28" spans="2:17">
      <c r="B28" s="228"/>
      <c r="C28" s="157"/>
      <c r="D28" s="157"/>
      <c r="E28" s="156"/>
      <c r="F28" s="156"/>
      <c r="G28" s="225"/>
      <c r="H28" s="225"/>
      <c r="I28" s="225"/>
      <c r="J28" s="156"/>
      <c r="K28" s="156"/>
      <c r="L28" s="156"/>
      <c r="M28" s="156"/>
      <c r="N28" s="158"/>
      <c r="O28" s="156"/>
      <c r="P28" s="156"/>
      <c r="Q28" s="156"/>
    </row>
    <row r="29" spans="2:17">
      <c r="B29" s="229" t="s">
        <v>243</v>
      </c>
      <c r="C29" s="229" t="s">
        <v>219</v>
      </c>
      <c r="D29" s="225" t="s">
        <v>882</v>
      </c>
      <c r="E29" s="229" t="s">
        <v>220</v>
      </c>
      <c r="F29" s="229" t="s">
        <v>221</v>
      </c>
      <c r="G29" s="229" t="s">
        <v>222</v>
      </c>
      <c r="H29" s="225" t="s">
        <v>746</v>
      </c>
      <c r="I29" s="225" t="s">
        <v>747</v>
      </c>
      <c r="J29" s="149" t="s">
        <v>883</v>
      </c>
      <c r="K29" s="265" t="s">
        <v>884</v>
      </c>
      <c r="L29" s="194" t="s">
        <v>225</v>
      </c>
      <c r="M29" s="156"/>
      <c r="N29" s="158"/>
      <c r="O29" s="156"/>
      <c r="P29" s="156"/>
      <c r="Q29" s="156"/>
    </row>
    <row r="30" spans="2:17" s="262" customFormat="1">
      <c r="B30" s="56" t="s">
        <v>1021</v>
      </c>
      <c r="C30" s="56">
        <v>89</v>
      </c>
      <c r="D30" s="262">
        <f xml:space="preserve"> IF(C22 &gt; 0, ((I23 / 2) + I26) / 2, 0)</f>
        <v>45</v>
      </c>
      <c r="E30" s="225">
        <f t="shared" ref="E30" si="0">LOOKUP(B30, ArmorNames, ArmorDensity)</f>
        <v>7.86</v>
      </c>
      <c r="F30" s="225">
        <f t="shared" ref="F30" si="1">LOOKUP(B30, ArmorNames, ArmorKE)</f>
        <v>0.91</v>
      </c>
      <c r="G30" s="225">
        <f t="shared" ref="G30" si="2">LOOKUP(B30, ArmorNames, ArmorHEAT)</f>
        <v>0.91</v>
      </c>
      <c r="H30" s="220">
        <f>C30 * F30 * 1.13</f>
        <v>91.518699999999995</v>
      </c>
      <c r="I30" s="220">
        <f>C30 * G30</f>
        <v>80.990000000000009</v>
      </c>
      <c r="J30" s="262">
        <f xml:space="preserve"> H30 / COS(RADIANS(D30))</f>
        <v>129.42698675075457</v>
      </c>
      <c r="K30" s="262">
        <f xml:space="preserve"> I30 / COS(RADIANS(D30))</f>
        <v>114.53715641659697</v>
      </c>
      <c r="L30" s="225">
        <f xml:space="preserve"> C27 * E30 / 1000</f>
        <v>195.43414984025438</v>
      </c>
      <c r="M30" s="157" t="s">
        <v>276</v>
      </c>
      <c r="N30" s="263"/>
      <c r="O30" s="157"/>
      <c r="P30" s="157"/>
      <c r="Q30" s="157"/>
    </row>
    <row r="31" spans="2:17">
      <c r="B31" s="156"/>
      <c r="C31" s="265" t="str">
        <f xml:space="preserve"> IF(MOD(C30, 1) = 0, C30 &amp; ".00", C30)</f>
        <v>89.00</v>
      </c>
      <c r="D31" s="271">
        <f xml:space="preserve"> ROUND(C30 / COS(RADIANS(D30)), 2)</f>
        <v>125.87</v>
      </c>
      <c r="E31" s="156"/>
      <c r="F31" s="156"/>
      <c r="G31" s="225"/>
      <c r="H31" s="225"/>
      <c r="I31" s="225"/>
      <c r="J31" s="156"/>
      <c r="K31" s="156"/>
      <c r="L31" s="225">
        <f xml:space="preserve"> L30 / 1000</f>
        <v>0.19543414984025437</v>
      </c>
      <c r="M31" s="156" t="s">
        <v>840</v>
      </c>
      <c r="N31" s="158"/>
      <c r="O31" s="156"/>
      <c r="P31" s="156"/>
      <c r="Q31" s="156"/>
    </row>
    <row r="32" spans="2:17">
      <c r="B32" s="156"/>
      <c r="C32" s="156"/>
      <c r="D32" s="156"/>
      <c r="E32" s="156"/>
      <c r="F32" s="156"/>
      <c r="G32" s="132"/>
      <c r="H32" s="132"/>
      <c r="I32" s="132"/>
      <c r="J32" s="136"/>
      <c r="K32" s="132"/>
      <c r="L32" s="156"/>
      <c r="M32" s="156"/>
      <c r="N32" s="156"/>
      <c r="O32" s="156"/>
      <c r="P32" s="156"/>
      <c r="Q32" s="156"/>
    </row>
    <row r="33" spans="1:20" ht="15.75">
      <c r="A33" s="156"/>
      <c r="B33" s="159" t="s">
        <v>589</v>
      </c>
      <c r="C33" s="157"/>
      <c r="D33" s="157"/>
      <c r="E33" s="156"/>
      <c r="F33" s="156"/>
      <c r="G33" s="132"/>
      <c r="H33" s="132"/>
      <c r="I33" s="132"/>
      <c r="J33" s="136"/>
      <c r="K33" s="132"/>
      <c r="L33" s="156"/>
      <c r="M33" s="156"/>
      <c r="N33" s="5" t="s">
        <v>293</v>
      </c>
      <c r="O33"/>
      <c r="P33"/>
      <c r="Q33" t="s">
        <v>300</v>
      </c>
      <c r="R33">
        <f xml:space="preserve"> IF(C35 = 0, 0, IF( T36 &gt; T35, T36, T35))</f>
        <v>0.53999999999999992</v>
      </c>
    </row>
    <row r="34" spans="1:20">
      <c r="A34" s="156"/>
      <c r="B34" s="142" t="s">
        <v>611</v>
      </c>
      <c r="C34" s="173">
        <v>0</v>
      </c>
      <c r="D34" s="154" t="s">
        <v>297</v>
      </c>
      <c r="E34" s="176" t="str">
        <f xml:space="preserve"> IF(O36 &lt; 0, "BAD", "OKAY")</f>
        <v>OKAY</v>
      </c>
      <c r="F34" s="156"/>
      <c r="G34" s="132"/>
      <c r="H34" s="132"/>
      <c r="I34" s="132"/>
      <c r="J34" s="136"/>
      <c r="K34" s="132"/>
      <c r="L34" s="156"/>
      <c r="M34" s="156"/>
      <c r="N34" s="5" t="s">
        <v>294</v>
      </c>
      <c r="O34" s="174">
        <f xml:space="preserve"> C7 - (TAN(RADIANS(C112)) *C60 * C8)</f>
        <v>0.54</v>
      </c>
      <c r="P34" s="4" t="s">
        <v>297</v>
      </c>
      <c r="Q34"/>
      <c r="R34"/>
    </row>
    <row r="35" spans="1:20">
      <c r="A35" s="156"/>
      <c r="B35" s="145" t="s">
        <v>590</v>
      </c>
      <c r="C35" s="167">
        <v>45</v>
      </c>
      <c r="D35" s="154" t="s">
        <v>210</v>
      </c>
      <c r="E35" s="131">
        <f>IF(C35 = 0, 1, COS(RADIANS(C35)))</f>
        <v>0.70710678118654757</v>
      </c>
      <c r="F35" s="131" t="s">
        <v>535</v>
      </c>
      <c r="G35" s="131"/>
      <c r="H35" s="131"/>
      <c r="I35" s="132"/>
      <c r="J35" s="136"/>
      <c r="K35" s="132"/>
      <c r="L35" s="156"/>
      <c r="M35" s="156"/>
      <c r="N35" s="5" t="s">
        <v>613</v>
      </c>
      <c r="O35" s="174">
        <f xml:space="preserve"> IF(O41 &gt; 0, C34 / O41, 0)</f>
        <v>0</v>
      </c>
      <c r="P35" s="4" t="s">
        <v>297</v>
      </c>
      <c r="Q35" s="4" t="s">
        <v>301</v>
      </c>
      <c r="R35" s="4">
        <f xml:space="preserve"> IF( O35 = 0, 0, O35 / O40)</f>
        <v>0</v>
      </c>
      <c r="S35" s="6" t="s">
        <v>615</v>
      </c>
      <c r="T35" s="4">
        <f>C34</f>
        <v>0</v>
      </c>
    </row>
    <row r="36" spans="1:20">
      <c r="A36" s="156"/>
      <c r="B36" s="138" t="s">
        <v>211</v>
      </c>
      <c r="C36" s="146">
        <f xml:space="preserve"> R35 + R36</f>
        <v>0.76367532368147129</v>
      </c>
      <c r="D36" s="147" t="s">
        <v>297</v>
      </c>
      <c r="E36" s="135">
        <f>C36*100</f>
        <v>76.367532368147124</v>
      </c>
      <c r="F36" s="131" t="s">
        <v>212</v>
      </c>
      <c r="G36" s="131">
        <f>E36 * 'Hull Design'!G2</f>
        <v>30.065957594587495</v>
      </c>
      <c r="H36" s="131" t="s">
        <v>303</v>
      </c>
      <c r="I36" s="132"/>
      <c r="J36" s="136"/>
      <c r="K36" s="132"/>
      <c r="L36" s="156"/>
      <c r="M36" s="156"/>
      <c r="N36" s="5" t="s">
        <v>612</v>
      </c>
      <c r="O36" s="175">
        <f xml:space="preserve"> O34 - O35</f>
        <v>0.54</v>
      </c>
      <c r="P36" s="4" t="s">
        <v>297</v>
      </c>
      <c r="Q36" t="s">
        <v>301</v>
      </c>
      <c r="R36">
        <f xml:space="preserve"> IF( O36 = 0, 0, O36 / O39)</f>
        <v>0.76367532368147129</v>
      </c>
      <c r="S36" s="6" t="s">
        <v>615</v>
      </c>
      <c r="T36" s="4">
        <f>IF(O41 = 0, 0, O36 * O41)</f>
        <v>0.53999999999999992</v>
      </c>
    </row>
    <row r="37" spans="1:20">
      <c r="A37" s="156"/>
      <c r="B37" s="138" t="s">
        <v>213</v>
      </c>
      <c r="C37" s="150">
        <f xml:space="preserve"> C6</f>
        <v>1.5006623535843917</v>
      </c>
      <c r="D37" s="147" t="s">
        <v>297</v>
      </c>
      <c r="E37" s="135">
        <f>C37*100</f>
        <v>150.06623535843917</v>
      </c>
      <c r="F37" s="131" t="s">
        <v>212</v>
      </c>
      <c r="G37" s="131">
        <f>E37 * 'Hull Design'!G2</f>
        <v>59.081194962744732</v>
      </c>
      <c r="H37" s="131" t="s">
        <v>303</v>
      </c>
      <c r="I37" s="132"/>
      <c r="J37" s="136"/>
      <c r="K37" s="132"/>
      <c r="L37" s="156"/>
      <c r="M37" s="156"/>
      <c r="N37" s="5" t="s">
        <v>295</v>
      </c>
      <c r="O37">
        <f>IF(C35 = 0, 0, RADIANS(C35))</f>
        <v>0.78539816339744828</v>
      </c>
      <c r="P37" t="s">
        <v>296</v>
      </c>
      <c r="Q37"/>
      <c r="R37"/>
    </row>
    <row r="38" spans="1:20">
      <c r="A38" s="156"/>
      <c r="B38" s="138" t="s">
        <v>214</v>
      </c>
      <c r="C38" s="150">
        <f xml:space="preserve"> C5</f>
        <v>1.75</v>
      </c>
      <c r="D38" s="147" t="s">
        <v>297</v>
      </c>
      <c r="E38" s="135">
        <f>C38*100</f>
        <v>175</v>
      </c>
      <c r="F38" s="131" t="s">
        <v>212</v>
      </c>
      <c r="G38" s="131">
        <f>E38 * 'Hull Design'!G2</f>
        <v>68.897637724999996</v>
      </c>
      <c r="H38" s="131" t="s">
        <v>303</v>
      </c>
      <c r="I38" s="132"/>
      <c r="J38" s="136"/>
      <c r="K38" s="132"/>
      <c r="L38" s="156"/>
      <c r="M38" s="156"/>
      <c r="P38"/>
      <c r="Q38"/>
      <c r="R38"/>
    </row>
    <row r="39" spans="1:20">
      <c r="A39" s="156"/>
      <c r="B39" s="138" t="s">
        <v>215</v>
      </c>
      <c r="C39" s="160">
        <f xml:space="preserve"> (E36 * (E37 + E38) * 0.5) - IF(C4 = "Oscilating", 0, ('Big Gun'!B24 * 1.1 * 0.5 / 1000)^2 * PI())</f>
        <v>12412.246663338672</v>
      </c>
      <c r="D39" s="156" t="s">
        <v>216</v>
      </c>
      <c r="E39" s="131"/>
      <c r="F39" s="131"/>
      <c r="G39" s="131">
        <f>C39 * 'Hull Design'!G2^2</f>
        <v>1923.9020766968949</v>
      </c>
      <c r="H39" s="131" t="s">
        <v>538</v>
      </c>
      <c r="I39" s="132"/>
      <c r="J39" s="136"/>
      <c r="K39" s="132"/>
      <c r="L39" s="156"/>
      <c r="M39" s="156"/>
      <c r="N39" s="5" t="s">
        <v>614</v>
      </c>
      <c r="O39">
        <f>COS(O37)</f>
        <v>0.70710678118654757</v>
      </c>
      <c r="P39"/>
      <c r="Q39"/>
      <c r="R39"/>
    </row>
    <row r="40" spans="1:20">
      <c r="A40" s="156"/>
      <c r="B40" s="138" t="s">
        <v>217</v>
      </c>
      <c r="C40" s="158">
        <f xml:space="preserve"> (C39 / 100^2) * (C52 / 1000)</f>
        <v>7.9438378645367513E-2</v>
      </c>
      <c r="D40" s="156" t="s">
        <v>218</v>
      </c>
      <c r="E40" s="156"/>
      <c r="F40" s="156"/>
      <c r="G40" s="131">
        <f>C40 * 'Hull Design'!G3^ 3</f>
        <v>2.8053398795489204</v>
      </c>
      <c r="H40" s="131" t="s">
        <v>539</v>
      </c>
      <c r="I40" s="132"/>
      <c r="J40" s="136"/>
      <c r="K40" s="132"/>
      <c r="L40" s="156"/>
      <c r="M40" s="156"/>
      <c r="N40" s="5" t="s">
        <v>298</v>
      </c>
      <c r="O40">
        <f>SIN(O37)</f>
        <v>0.70710678118654746</v>
      </c>
      <c r="P40"/>
      <c r="Q40"/>
      <c r="R40"/>
    </row>
    <row r="41" spans="1:20">
      <c r="N41" s="5" t="s">
        <v>299</v>
      </c>
      <c r="O41">
        <f>TAN(O37)</f>
        <v>0.99999999999999989</v>
      </c>
    </row>
    <row r="42" spans="1:20">
      <c r="A42" s="156"/>
      <c r="B42" s="139" t="s">
        <v>243</v>
      </c>
      <c r="C42" s="134" t="s">
        <v>219</v>
      </c>
      <c r="D42" s="153" t="s">
        <v>534</v>
      </c>
      <c r="E42" s="134" t="s">
        <v>220</v>
      </c>
      <c r="F42" s="139" t="s">
        <v>221</v>
      </c>
      <c r="G42" s="139" t="s">
        <v>222</v>
      </c>
      <c r="H42" s="153" t="s">
        <v>536</v>
      </c>
      <c r="I42" s="153" t="s">
        <v>537</v>
      </c>
      <c r="J42" s="132" t="s">
        <v>746</v>
      </c>
      <c r="K42" s="132" t="s">
        <v>747</v>
      </c>
      <c r="L42" s="132" t="s">
        <v>225</v>
      </c>
      <c r="M42" s="149"/>
      <c r="N42" s="156"/>
      <c r="O42" s="156"/>
      <c r="P42" s="156"/>
      <c r="Q42" s="156"/>
    </row>
    <row r="43" spans="1:20">
      <c r="A43" s="157"/>
      <c r="B43" s="56" t="s">
        <v>1021</v>
      </c>
      <c r="C43" s="56">
        <v>64</v>
      </c>
      <c r="D43" s="6">
        <f>C43 / E35</f>
        <v>90.509667991878075</v>
      </c>
      <c r="E43" s="132">
        <f t="shared" ref="E43:E51" si="3">LOOKUP(B43, ArmorNames, ArmorDensity)</f>
        <v>7.86</v>
      </c>
      <c r="F43" s="132">
        <f t="shared" ref="F43:F51" si="4">LOOKUP(B43, ArmorNames, ArmorKE)</f>
        <v>0.91</v>
      </c>
      <c r="G43" s="132">
        <f t="shared" ref="G43:G51" si="5">LOOKUP(B43, ArmorNames, ArmorHEAT)</f>
        <v>0.91</v>
      </c>
      <c r="H43" s="6">
        <f t="shared" ref="H43:H51" si="6">IF(C43 &gt; 0, IF(LOOKUP(B43,ArmorNames,ArmorModifier) = 1, 1, 3.4383*EXP(-0.006*C43)), 1)</f>
        <v>1</v>
      </c>
      <c r="I43" s="6">
        <f t="shared" ref="I43:I51" si="7">IF(C43&gt;0, IF(LOOKUP(B43,ArmorNames,ArmorModifier)=1, 1, 7.8657*EXP(-0.009*C43)), 1)</f>
        <v>1</v>
      </c>
      <c r="J43" s="143">
        <f t="shared" ref="J43:J44" si="8">D43 * F43 * H43</f>
        <v>82.363797872609055</v>
      </c>
      <c r="K43" s="143">
        <f>D43 * G43 * I43</f>
        <v>82.363797872609055</v>
      </c>
      <c r="L43" s="132">
        <f>(C43/10)*C39*E43/1000</f>
        <v>624.38565615258869</v>
      </c>
      <c r="M43" s="6"/>
      <c r="N43" s="158"/>
      <c r="O43" s="156"/>
      <c r="P43" s="156"/>
      <c r="Q43" s="156"/>
    </row>
    <row r="44" spans="1:20">
      <c r="A44" s="157"/>
      <c r="B44" s="56" t="s">
        <v>229</v>
      </c>
      <c r="C44" s="56">
        <v>0</v>
      </c>
      <c r="D44" s="6">
        <f>C44 / E35</f>
        <v>0</v>
      </c>
      <c r="E44" s="132">
        <f t="shared" si="3"/>
        <v>0</v>
      </c>
      <c r="F44" s="132">
        <f t="shared" si="4"/>
        <v>0</v>
      </c>
      <c r="G44" s="132">
        <f t="shared" si="5"/>
        <v>0</v>
      </c>
      <c r="H44" s="6">
        <f t="shared" si="6"/>
        <v>1</v>
      </c>
      <c r="I44" s="6">
        <f t="shared" si="7"/>
        <v>1</v>
      </c>
      <c r="J44" s="143">
        <f t="shared" si="8"/>
        <v>0</v>
      </c>
      <c r="K44" s="143">
        <f>D44 * G44 * I44</f>
        <v>0</v>
      </c>
      <c r="L44" s="132">
        <f>(C44/10)*C39*E44/1000</f>
        <v>0</v>
      </c>
      <c r="M44" s="6"/>
      <c r="N44" s="158"/>
      <c r="O44" s="156"/>
      <c r="P44" s="137"/>
      <c r="Q44" s="158"/>
    </row>
    <row r="45" spans="1:20">
      <c r="A45" s="157"/>
      <c r="B45" s="152" t="s">
        <v>229</v>
      </c>
      <c r="C45" s="56">
        <v>0</v>
      </c>
      <c r="D45" s="6">
        <f>C45 / E35</f>
        <v>0</v>
      </c>
      <c r="E45" s="132">
        <f t="shared" si="3"/>
        <v>0</v>
      </c>
      <c r="F45" s="132">
        <f t="shared" si="4"/>
        <v>0</v>
      </c>
      <c r="G45" s="132">
        <f t="shared" si="5"/>
        <v>0</v>
      </c>
      <c r="H45" s="6">
        <f t="shared" si="6"/>
        <v>1</v>
      </c>
      <c r="I45" s="6">
        <f t="shared" si="7"/>
        <v>1</v>
      </c>
      <c r="J45" s="143">
        <f>D45 * F45 * H45</f>
        <v>0</v>
      </c>
      <c r="K45" s="143">
        <f t="shared" ref="K45:K51" si="9">D45 * G45 * I45</f>
        <v>0</v>
      </c>
      <c r="L45" s="132">
        <f>(C45/10)*C39*E45/1000</f>
        <v>0</v>
      </c>
      <c r="M45" s="6"/>
      <c r="N45" s="156"/>
      <c r="O45" s="156"/>
      <c r="P45" s="156"/>
      <c r="Q45" s="156"/>
    </row>
    <row r="46" spans="1:20">
      <c r="A46" s="157"/>
      <c r="B46" s="56" t="s">
        <v>229</v>
      </c>
      <c r="C46" s="56">
        <v>0</v>
      </c>
      <c r="D46" s="6">
        <f>C46 / E35</f>
        <v>0</v>
      </c>
      <c r="E46" s="132">
        <f t="shared" si="3"/>
        <v>0</v>
      </c>
      <c r="F46" s="132">
        <f t="shared" si="4"/>
        <v>0</v>
      </c>
      <c r="G46" s="132">
        <f t="shared" si="5"/>
        <v>0</v>
      </c>
      <c r="H46" s="6">
        <f t="shared" si="6"/>
        <v>1</v>
      </c>
      <c r="I46" s="6">
        <f t="shared" si="7"/>
        <v>1</v>
      </c>
      <c r="J46" s="143">
        <f>D46 * F46 * H46</f>
        <v>0</v>
      </c>
      <c r="K46" s="143">
        <f t="shared" si="9"/>
        <v>0</v>
      </c>
      <c r="L46" s="132">
        <f>(C46/10)*C39*E46/1000</f>
        <v>0</v>
      </c>
      <c r="M46" s="6"/>
      <c r="N46" s="156"/>
      <c r="O46" s="156"/>
      <c r="P46" s="156"/>
      <c r="Q46" s="156"/>
    </row>
    <row r="47" spans="1:20">
      <c r="A47" s="157"/>
      <c r="B47" s="56" t="s">
        <v>229</v>
      </c>
      <c r="C47" s="56">
        <v>0</v>
      </c>
      <c r="D47" s="6">
        <f>C47 / E35</f>
        <v>0</v>
      </c>
      <c r="E47" s="132">
        <f t="shared" si="3"/>
        <v>0</v>
      </c>
      <c r="F47" s="132">
        <f t="shared" si="4"/>
        <v>0</v>
      </c>
      <c r="G47" s="132">
        <f t="shared" si="5"/>
        <v>0</v>
      </c>
      <c r="H47" s="6">
        <f t="shared" si="6"/>
        <v>1</v>
      </c>
      <c r="I47" s="6">
        <f t="shared" si="7"/>
        <v>1</v>
      </c>
      <c r="J47" s="143">
        <f t="shared" ref="J47:J51" si="10">D47 * F47 * H47</f>
        <v>0</v>
      </c>
      <c r="K47" s="143">
        <f t="shared" si="9"/>
        <v>0</v>
      </c>
      <c r="L47" s="132">
        <f>(C47/10)*C39*E47/1000</f>
        <v>0</v>
      </c>
      <c r="M47" s="6"/>
      <c r="N47" s="156"/>
      <c r="O47" s="156"/>
      <c r="P47" s="156"/>
      <c r="Q47" s="156"/>
    </row>
    <row r="48" spans="1:20">
      <c r="A48" s="157"/>
      <c r="B48" s="56" t="s">
        <v>229</v>
      </c>
      <c r="C48" s="56">
        <v>0</v>
      </c>
      <c r="D48" s="6">
        <f>C48 / E35</f>
        <v>0</v>
      </c>
      <c r="E48" s="132">
        <f t="shared" si="3"/>
        <v>0</v>
      </c>
      <c r="F48" s="132">
        <f t="shared" si="4"/>
        <v>0</v>
      </c>
      <c r="G48" s="132">
        <f t="shared" si="5"/>
        <v>0</v>
      </c>
      <c r="H48" s="6">
        <f t="shared" si="6"/>
        <v>1</v>
      </c>
      <c r="I48" s="6">
        <f t="shared" si="7"/>
        <v>1</v>
      </c>
      <c r="J48" s="143">
        <f t="shared" si="10"/>
        <v>0</v>
      </c>
      <c r="K48" s="143">
        <f t="shared" si="9"/>
        <v>0</v>
      </c>
      <c r="L48" s="132">
        <f>(C48/10)*C39*E48/1000</f>
        <v>0</v>
      </c>
      <c r="M48" s="6"/>
      <c r="N48" s="156"/>
      <c r="O48" s="156"/>
      <c r="P48" s="156"/>
      <c r="Q48" s="156"/>
    </row>
    <row r="49" spans="1:24">
      <c r="A49" s="157"/>
      <c r="B49" s="56" t="s">
        <v>229</v>
      </c>
      <c r="C49" s="56">
        <v>0</v>
      </c>
      <c r="D49" s="6">
        <f>C49 / E35</f>
        <v>0</v>
      </c>
      <c r="E49" s="132">
        <f t="shared" si="3"/>
        <v>0</v>
      </c>
      <c r="F49" s="132">
        <f t="shared" si="4"/>
        <v>0</v>
      </c>
      <c r="G49" s="132">
        <f t="shared" si="5"/>
        <v>0</v>
      </c>
      <c r="H49" s="6">
        <f t="shared" si="6"/>
        <v>1</v>
      </c>
      <c r="I49" s="6">
        <f t="shared" si="7"/>
        <v>1</v>
      </c>
      <c r="J49" s="143">
        <f t="shared" si="10"/>
        <v>0</v>
      </c>
      <c r="K49" s="143">
        <f t="shared" si="9"/>
        <v>0</v>
      </c>
      <c r="L49" s="132">
        <f>(C49/10)*C39*E49/1000</f>
        <v>0</v>
      </c>
      <c r="M49" s="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</row>
    <row r="50" spans="1:24">
      <c r="A50" s="157"/>
      <c r="B50" s="56" t="s">
        <v>229</v>
      </c>
      <c r="C50" s="56">
        <v>0</v>
      </c>
      <c r="D50" s="6">
        <f>C50 / E35</f>
        <v>0</v>
      </c>
      <c r="E50" s="132">
        <f t="shared" si="3"/>
        <v>0</v>
      </c>
      <c r="F50" s="132">
        <f t="shared" si="4"/>
        <v>0</v>
      </c>
      <c r="G50" s="132">
        <f t="shared" si="5"/>
        <v>0</v>
      </c>
      <c r="H50" s="6">
        <f t="shared" si="6"/>
        <v>1</v>
      </c>
      <c r="I50" s="6">
        <f t="shared" si="7"/>
        <v>1</v>
      </c>
      <c r="J50" s="143">
        <f t="shared" si="10"/>
        <v>0</v>
      </c>
      <c r="K50" s="143">
        <f t="shared" si="9"/>
        <v>0</v>
      </c>
      <c r="L50" s="132">
        <f>(C50/10)*C39*E50/1000</f>
        <v>0</v>
      </c>
      <c r="M50" s="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</row>
    <row r="51" spans="1:24">
      <c r="A51" s="156"/>
      <c r="B51" s="152" t="s">
        <v>229</v>
      </c>
      <c r="C51" s="152">
        <v>0</v>
      </c>
      <c r="D51" s="6">
        <f>C51 / E35</f>
        <v>0</v>
      </c>
      <c r="E51" s="132">
        <f t="shared" si="3"/>
        <v>0</v>
      </c>
      <c r="F51" s="132">
        <f t="shared" si="4"/>
        <v>0</v>
      </c>
      <c r="G51" s="132">
        <f t="shared" si="5"/>
        <v>0</v>
      </c>
      <c r="H51" s="6">
        <f t="shared" si="6"/>
        <v>1</v>
      </c>
      <c r="I51" s="6">
        <f t="shared" si="7"/>
        <v>1</v>
      </c>
      <c r="J51" s="143">
        <f t="shared" si="10"/>
        <v>0</v>
      </c>
      <c r="K51" s="143">
        <f t="shared" si="9"/>
        <v>0</v>
      </c>
      <c r="L51" s="132">
        <f>(C51/10)*C39*E51/1000</f>
        <v>0</v>
      </c>
      <c r="M51" s="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</row>
    <row r="52" spans="1:24">
      <c r="A52" s="156"/>
      <c r="B52" s="133" t="s">
        <v>230</v>
      </c>
      <c r="C52" s="141">
        <f>SUM(C43:C51)</f>
        <v>64</v>
      </c>
      <c r="D52">
        <f xml:space="preserve"> SUM(D43:D51)</f>
        <v>90.509667991878075</v>
      </c>
      <c r="E52" s="134"/>
      <c r="F52" s="134"/>
      <c r="G52" s="134"/>
      <c r="H52"/>
      <c r="I52"/>
      <c r="J52" s="143">
        <f>SUM(J43:J51)</f>
        <v>82.363797872609055</v>
      </c>
      <c r="K52" s="143">
        <f>SUM(K43:K51)</f>
        <v>82.363797872609055</v>
      </c>
      <c r="L52" s="132">
        <f>SUM(L43:L51)</f>
        <v>624.38565615258869</v>
      </c>
      <c r="M52" t="s">
        <v>276</v>
      </c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</row>
    <row r="53" spans="1:24">
      <c r="A53" s="156"/>
      <c r="B53" s="133"/>
      <c r="C53" s="139"/>
      <c r="D53" s="134"/>
      <c r="E53" s="134"/>
      <c r="F53"/>
      <c r="G53"/>
      <c r="H53"/>
      <c r="I53" s="134" t="s">
        <v>231</v>
      </c>
      <c r="J53" s="56">
        <v>1.1299999999999999</v>
      </c>
      <c r="K53" s="140"/>
      <c r="L53" s="131"/>
      <c r="M53" s="13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</row>
    <row r="54" spans="1:24">
      <c r="A54" s="156"/>
      <c r="B54" s="133"/>
      <c r="C54" s="139"/>
      <c r="D54" s="134"/>
      <c r="E54" s="134"/>
      <c r="F54"/>
      <c r="G54"/>
      <c r="H54"/>
      <c r="I54" s="134"/>
      <c r="J54" s="132">
        <f>J52*J53</f>
        <v>93.07109159604822</v>
      </c>
      <c r="K54" s="131"/>
      <c r="L54" s="132">
        <f>L52/1000</f>
        <v>0.62438565615258868</v>
      </c>
      <c r="M54" s="136" t="s">
        <v>840</v>
      </c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</row>
    <row r="55" spans="1:24" ht="15.75" thickBot="1">
      <c r="A55" s="156"/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</row>
    <row r="56" spans="1:24" ht="15.75" thickTop="1">
      <c r="A56" s="156"/>
      <c r="B56" s="157"/>
      <c r="C56" s="154"/>
      <c r="D56" s="154"/>
      <c r="E56" s="154"/>
      <c r="F56" s="154"/>
      <c r="G56" s="132"/>
      <c r="H56" s="132"/>
      <c r="I56" s="132"/>
      <c r="J56" s="136"/>
      <c r="K56" s="132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</row>
    <row r="57" spans="1:24" ht="15.75">
      <c r="A57" s="156"/>
      <c r="B57" s="159" t="s">
        <v>591</v>
      </c>
      <c r="C57" s="154"/>
      <c r="D57" s="154"/>
      <c r="E57" s="154"/>
      <c r="F57" s="154"/>
      <c r="G57" s="132"/>
      <c r="H57" s="132"/>
      <c r="I57" s="132"/>
      <c r="J57" s="136"/>
      <c r="K57" s="132"/>
      <c r="L57" s="156"/>
      <c r="M57" s="156"/>
      <c r="N57" s="5" t="s">
        <v>541</v>
      </c>
      <c r="O57"/>
      <c r="P57"/>
      <c r="Q57" t="s">
        <v>300</v>
      </c>
      <c r="R57">
        <f xml:space="preserve"> IF(C62 = 0, 0, IF( T60 &gt; T59, T60, T59))</f>
        <v>0.12466882320780409</v>
      </c>
      <c r="U57" s="156"/>
      <c r="V57" s="156"/>
      <c r="W57" s="156"/>
      <c r="X57" s="156"/>
    </row>
    <row r="58" spans="1:24">
      <c r="A58" s="156"/>
      <c r="B58" s="142" t="s">
        <v>622</v>
      </c>
      <c r="C58" s="173">
        <v>0</v>
      </c>
      <c r="D58" s="154" t="s">
        <v>210</v>
      </c>
      <c r="E58" s="131">
        <f>IF(C58 = 0, 1, COS(RADIANS(90-C58)))</f>
        <v>1</v>
      </c>
      <c r="F58" s="157" t="s">
        <v>535</v>
      </c>
      <c r="G58" s="132"/>
      <c r="H58" s="132"/>
      <c r="I58" s="132"/>
      <c r="J58" s="136"/>
      <c r="K58" s="132"/>
      <c r="L58" s="156"/>
      <c r="M58" s="156"/>
      <c r="N58" s="5" t="s">
        <v>294</v>
      </c>
      <c r="O58" s="174">
        <f xml:space="preserve"> C7</f>
        <v>0.54</v>
      </c>
      <c r="P58" s="4" t="s">
        <v>297</v>
      </c>
      <c r="Q58"/>
      <c r="R58"/>
      <c r="U58" s="156"/>
      <c r="V58" s="156"/>
      <c r="W58" s="156"/>
      <c r="X58" s="156"/>
    </row>
    <row r="59" spans="1:24">
      <c r="A59" s="156"/>
      <c r="B59" s="142" t="s">
        <v>621</v>
      </c>
      <c r="C59" s="173">
        <v>0</v>
      </c>
      <c r="D59" s="154" t="s">
        <v>210</v>
      </c>
      <c r="E59" s="131">
        <f>IF(C59 = 0, 1, COS(RADIANS(90-C59)))</f>
        <v>1</v>
      </c>
      <c r="F59" s="157" t="s">
        <v>535</v>
      </c>
      <c r="G59" s="132"/>
      <c r="H59" s="132"/>
      <c r="I59" s="132"/>
      <c r="J59" s="136"/>
      <c r="K59" s="132"/>
      <c r="L59" s="156"/>
      <c r="M59" s="156"/>
      <c r="N59" s="5" t="s">
        <v>613</v>
      </c>
      <c r="O59" s="174">
        <f xml:space="preserve"> IF(O65 &gt; 0, C61 / O65, 0)</f>
        <v>0</v>
      </c>
      <c r="P59" s="4" t="s">
        <v>297</v>
      </c>
      <c r="Q59" s="4" t="s">
        <v>301</v>
      </c>
      <c r="R59" s="4">
        <f xml:space="preserve"> IF( O59 = 0, 0, O59 / O64)</f>
        <v>0</v>
      </c>
      <c r="S59" s="6" t="s">
        <v>615</v>
      </c>
      <c r="T59" s="4">
        <f>C61</f>
        <v>0</v>
      </c>
      <c r="U59" s="156"/>
      <c r="V59" s="156"/>
      <c r="W59" s="156"/>
      <c r="X59" s="156"/>
    </row>
    <row r="60" spans="1:24">
      <c r="A60" s="156"/>
      <c r="B60" s="142" t="s">
        <v>629</v>
      </c>
      <c r="C60" s="177">
        <v>0.2</v>
      </c>
      <c r="D60" s="154" t="s">
        <v>191</v>
      </c>
      <c r="E60" s="131"/>
      <c r="F60" s="154"/>
      <c r="G60" s="132"/>
      <c r="H60" s="132"/>
      <c r="I60" s="132"/>
      <c r="J60" s="136"/>
      <c r="K60" s="132"/>
      <c r="L60" s="156"/>
      <c r="M60" s="156"/>
      <c r="N60" s="5" t="s">
        <v>612</v>
      </c>
      <c r="O60" s="175">
        <f xml:space="preserve"> O58 - O59</f>
        <v>0.54</v>
      </c>
      <c r="P60" s="4" t="s">
        <v>297</v>
      </c>
      <c r="Q60" t="s">
        <v>301</v>
      </c>
      <c r="R60">
        <f xml:space="preserve"> IF( O60 = 0, 0, O60 / O63)</f>
        <v>0.55420421820843146</v>
      </c>
      <c r="S60" s="6" t="s">
        <v>615</v>
      </c>
      <c r="T60" s="4">
        <f>IF(O65 = 0, 0, O60 * O65)</f>
        <v>0.12466882320780409</v>
      </c>
      <c r="U60" s="156"/>
      <c r="V60" s="156"/>
      <c r="W60" s="156"/>
      <c r="X60" s="156"/>
    </row>
    <row r="61" spans="1:24">
      <c r="A61" s="156"/>
      <c r="B61" s="142" t="s">
        <v>616</v>
      </c>
      <c r="C61" s="173">
        <v>0</v>
      </c>
      <c r="D61" s="154" t="s">
        <v>297</v>
      </c>
      <c r="E61" s="176" t="str">
        <f xml:space="preserve"> IF(O60 &lt; 0, "BAD", "OKAY")</f>
        <v>OKAY</v>
      </c>
      <c r="F61" s="154"/>
      <c r="G61" s="132"/>
      <c r="H61" s="132"/>
      <c r="I61" s="132"/>
      <c r="J61" s="136"/>
      <c r="K61" s="132"/>
      <c r="L61" s="156"/>
      <c r="M61" s="156"/>
      <c r="N61" s="5" t="s">
        <v>295</v>
      </c>
      <c r="O61">
        <f>IF(C62 = 0, 0, RADIANS(C62))</f>
        <v>0.22689280275926285</v>
      </c>
      <c r="P61" t="s">
        <v>296</v>
      </c>
      <c r="Q61"/>
      <c r="R61"/>
      <c r="U61" s="156"/>
      <c r="V61" s="156"/>
      <c r="W61" s="156"/>
      <c r="X61" s="156"/>
    </row>
    <row r="62" spans="1:24">
      <c r="A62" s="156"/>
      <c r="B62" s="145" t="s">
        <v>590</v>
      </c>
      <c r="C62" s="167">
        <v>13</v>
      </c>
      <c r="D62" s="154" t="s">
        <v>210</v>
      </c>
      <c r="E62" s="131">
        <f>IF(C62 = 0, 1, COS(RADIANS(C62)))</f>
        <v>0.97437006478523525</v>
      </c>
      <c r="F62" s="131" t="s">
        <v>535</v>
      </c>
      <c r="G62" s="131"/>
      <c r="H62" s="131"/>
      <c r="I62" s="139"/>
      <c r="J62" s="136"/>
      <c r="K62" s="132"/>
      <c r="L62" s="156"/>
      <c r="M62" s="156"/>
      <c r="P62"/>
      <c r="Q62"/>
      <c r="R62"/>
      <c r="U62" s="137"/>
      <c r="V62" s="158"/>
      <c r="W62" s="144"/>
      <c r="X62" s="156"/>
    </row>
    <row r="63" spans="1:24">
      <c r="A63" s="156"/>
      <c r="B63" s="138" t="s">
        <v>211</v>
      </c>
      <c r="C63" s="158">
        <f xml:space="preserve"> R59 + R60</f>
        <v>0.55420421820843146</v>
      </c>
      <c r="D63" s="157" t="s">
        <v>297</v>
      </c>
      <c r="E63" s="135">
        <f>C63*100</f>
        <v>55.420421820843146</v>
      </c>
      <c r="F63" s="131" t="s">
        <v>212</v>
      </c>
      <c r="G63" s="131">
        <f>E63 * 'Hull Design'!G2</f>
        <v>21.81906368673792</v>
      </c>
      <c r="H63" s="131" t="s">
        <v>303</v>
      </c>
      <c r="I63" s="139"/>
      <c r="J63" s="136"/>
      <c r="K63" s="132"/>
      <c r="L63" s="132"/>
      <c r="M63" s="156"/>
      <c r="N63" s="5" t="s">
        <v>614</v>
      </c>
      <c r="O63">
        <f>COS(O61)</f>
        <v>0.97437006478523525</v>
      </c>
      <c r="P63"/>
      <c r="Q63" s="277" t="s">
        <v>890</v>
      </c>
      <c r="R63">
        <f xml:space="preserve"> C7 * (1 - C87)</f>
        <v>0.54</v>
      </c>
      <c r="U63" s="137"/>
      <c r="V63" s="156"/>
      <c r="W63" s="144"/>
      <c r="X63" s="156"/>
    </row>
    <row r="64" spans="1:24">
      <c r="A64" s="156"/>
      <c r="B64" s="178" t="s">
        <v>630</v>
      </c>
      <c r="C64" s="4">
        <f xml:space="preserve"> ((C9 * C60) / IF(C58 = 0, 1, SIN(RADIANS(C58)))) - D52 / 1000</f>
        <v>0.1514903320081219</v>
      </c>
      <c r="D64" s="168" t="s">
        <v>297</v>
      </c>
      <c r="E64" s="135">
        <f>C64*100</f>
        <v>15.149033200812189</v>
      </c>
      <c r="F64" s="4" t="s">
        <v>212</v>
      </c>
      <c r="G64" s="131">
        <f>E64 * 'Hull Design'!G2</f>
        <v>5.9641862934488881</v>
      </c>
      <c r="H64" s="131" t="s">
        <v>303</v>
      </c>
      <c r="I64" s="132"/>
      <c r="J64" s="136"/>
      <c r="K64" s="132"/>
      <c r="L64" s="156"/>
      <c r="M64" s="156"/>
      <c r="N64" s="5" t="s">
        <v>298</v>
      </c>
      <c r="O64">
        <f>SIN(O61)</f>
        <v>0.224951054343865</v>
      </c>
      <c r="P64"/>
      <c r="Q64" s="277" t="s">
        <v>613</v>
      </c>
      <c r="R64" s="174">
        <f xml:space="preserve"> IF(O65 &gt; 0, C61 / O65, 0) - (O58 - R63)</f>
        <v>0</v>
      </c>
      <c r="S64" s="4">
        <f xml:space="preserve"> IF( R64 = 0, 0, R64 / O64)</f>
        <v>0</v>
      </c>
      <c r="T64" s="4">
        <f>C61</f>
        <v>0</v>
      </c>
      <c r="U64" s="137"/>
      <c r="V64" s="158"/>
      <c r="W64" s="144"/>
      <c r="X64" s="156"/>
    </row>
    <row r="65" spans="1:24">
      <c r="A65" s="156"/>
      <c r="B65" s="178" t="s">
        <v>631</v>
      </c>
      <c r="C65" s="4">
        <f xml:space="preserve"> ((C9 * (1 - C60)) / IF(C59 = 0, 1, SIN(RADIANS(C59)))) - D106 / 1000</f>
        <v>0.90399999999999991</v>
      </c>
      <c r="D65" s="168" t="s">
        <v>297</v>
      </c>
      <c r="E65" s="135">
        <f>C65*100</f>
        <v>90.399999999999991</v>
      </c>
      <c r="F65" s="4" t="s">
        <v>212</v>
      </c>
      <c r="G65" s="131">
        <f>E65 * 'Hull Design'!G2</f>
        <v>35.590551144799996</v>
      </c>
      <c r="H65" s="131" t="s">
        <v>303</v>
      </c>
      <c r="I65" s="132"/>
      <c r="J65" s="136"/>
      <c r="K65" s="132"/>
      <c r="L65" s="156"/>
      <c r="M65" s="156"/>
      <c r="N65" s="5" t="s">
        <v>299</v>
      </c>
      <c r="O65">
        <f>TAN(O61)</f>
        <v>0.23086819112556312</v>
      </c>
      <c r="P65"/>
      <c r="Q65" s="277" t="s">
        <v>612</v>
      </c>
      <c r="R65" s="174">
        <f xml:space="preserve"> O60</f>
        <v>0.54</v>
      </c>
      <c r="S65" s="4">
        <f xml:space="preserve"> IF( R65 = 0, 0, R65 / O63)</f>
        <v>0.55420421820843146</v>
      </c>
      <c r="T65" s="4">
        <f>IF(O65 = 0, 0, R65 * O65)</f>
        <v>0.12466882320780409</v>
      </c>
      <c r="U65" s="137"/>
      <c r="V65" s="158"/>
      <c r="W65" s="144"/>
      <c r="X65" s="156"/>
    </row>
    <row r="66" spans="1:24">
      <c r="A66" s="156"/>
      <c r="B66" s="138" t="s">
        <v>632</v>
      </c>
      <c r="C66" s="4">
        <f xml:space="preserve"> ((C8 * C60) / IF(C58 = 0, 1, SIN(RADIANS(C58)))) - D52 / 1000</f>
        <v>0.25949033200812194</v>
      </c>
      <c r="D66" s="157" t="s">
        <v>297</v>
      </c>
      <c r="E66" s="135">
        <f>C66*100</f>
        <v>25.949033200812195</v>
      </c>
      <c r="F66" s="131" t="s">
        <v>212</v>
      </c>
      <c r="G66" s="131">
        <f>E66 * 'Hull Design'!G2</f>
        <v>10.21615479304889</v>
      </c>
      <c r="H66" s="131" t="s">
        <v>303</v>
      </c>
      <c r="I66" s="132"/>
      <c r="J66" s="136"/>
      <c r="K66" s="132"/>
      <c r="L66" s="156"/>
      <c r="M66" s="156"/>
      <c r="P66"/>
      <c r="Q66"/>
      <c r="R66" s="174">
        <f xml:space="preserve"> ((O59 - R64) / COS(RADIANS(C62))) * ((C8 - (C1 / 100)) / COS(RADIANS(C59))) * 100^2</f>
        <v>0</v>
      </c>
      <c r="U66" s="137"/>
      <c r="V66" s="158"/>
      <c r="W66" s="144"/>
      <c r="X66" s="156"/>
    </row>
    <row r="67" spans="1:24">
      <c r="A67" s="156"/>
      <c r="B67" s="138" t="s">
        <v>633</v>
      </c>
      <c r="C67" s="164">
        <f xml:space="preserve"> ((C8 * C60) / IF(C59 = 0, 1, SIN(RADIANS(C59)))) - D106 / 1000</f>
        <v>0.28600000000000003</v>
      </c>
      <c r="D67" s="157" t="s">
        <v>297</v>
      </c>
      <c r="E67" s="135">
        <f>C67*100</f>
        <v>28.6</v>
      </c>
      <c r="F67" s="131" t="s">
        <v>212</v>
      </c>
      <c r="G67" s="131">
        <f>E67 * 'Hull Design'!G2</f>
        <v>11.2598425082</v>
      </c>
      <c r="H67" s="131" t="s">
        <v>303</v>
      </c>
      <c r="I67" s="132"/>
      <c r="J67" s="136"/>
      <c r="K67" s="132"/>
      <c r="L67" s="156"/>
      <c r="M67" s="156"/>
      <c r="U67" s="137"/>
      <c r="V67" s="158"/>
      <c r="W67" s="144"/>
      <c r="X67" s="156"/>
    </row>
    <row r="68" spans="1:24">
      <c r="A68" s="156"/>
      <c r="B68" s="138" t="s">
        <v>592</v>
      </c>
      <c r="C68" s="160">
        <f xml:space="preserve"> E63 * 0.5 * (E64 + E65 + E66 + E67) - ( 2 * R66)</f>
        <v>4436.3511863396889</v>
      </c>
      <c r="D68" s="156" t="s">
        <v>216</v>
      </c>
      <c r="E68" s="156"/>
      <c r="F68" s="156"/>
      <c r="G68" s="131">
        <f>C68 * 'Hull Design'!G2^2</f>
        <v>687.63580775149296</v>
      </c>
      <c r="H68" s="131" t="s">
        <v>538</v>
      </c>
      <c r="I68" s="132"/>
      <c r="J68" s="136"/>
      <c r="K68" s="132"/>
      <c r="L68" s="156"/>
      <c r="M68" s="156"/>
      <c r="U68" s="156"/>
      <c r="V68" s="158"/>
      <c r="W68" s="156"/>
      <c r="X68" s="156"/>
    </row>
    <row r="69" spans="1:24">
      <c r="A69" s="156"/>
      <c r="B69" s="138" t="s">
        <v>593</v>
      </c>
      <c r="C69" s="158">
        <f xml:space="preserve"> (C68 / 100^2) * (C81 / 1000)</f>
        <v>2.8392647592574007E-2</v>
      </c>
      <c r="D69" s="157" t="s">
        <v>255</v>
      </c>
      <c r="E69" s="156"/>
      <c r="F69" s="156"/>
      <c r="G69" s="131">
        <f>C69 * 'Hull Design'!G3^ 3</f>
        <v>1.0026768916446331</v>
      </c>
      <c r="H69" s="131" t="s">
        <v>539</v>
      </c>
      <c r="I69" s="132"/>
      <c r="J69" s="136"/>
      <c r="K69" s="132"/>
      <c r="L69" s="156"/>
      <c r="M69" s="156"/>
      <c r="U69" s="156"/>
      <c r="V69" s="156"/>
      <c r="W69" s="156"/>
      <c r="X69" s="156"/>
    </row>
    <row r="70" spans="1:24">
      <c r="A70" s="156"/>
      <c r="B70" s="147"/>
      <c r="C70" s="156"/>
      <c r="D70" s="157"/>
      <c r="E70" s="156"/>
      <c r="F70" s="156"/>
      <c r="G70" s="132"/>
      <c r="H70" s="132"/>
      <c r="I70" s="132"/>
      <c r="J70" s="136"/>
      <c r="K70" s="132"/>
      <c r="L70" s="156"/>
      <c r="M70" s="156"/>
      <c r="N70" s="158"/>
      <c r="O70" s="156"/>
      <c r="P70" s="137"/>
      <c r="Q70" s="158"/>
      <c r="R70" s="156"/>
      <c r="S70" s="156"/>
      <c r="T70" s="156"/>
      <c r="U70" s="156"/>
      <c r="V70" s="156"/>
      <c r="W70" s="156"/>
    </row>
    <row r="71" spans="1:24">
      <c r="A71" s="156"/>
      <c r="B71" s="139" t="s">
        <v>243</v>
      </c>
      <c r="C71" s="134" t="s">
        <v>219</v>
      </c>
      <c r="D71" s="153" t="s">
        <v>534</v>
      </c>
      <c r="E71" s="134" t="s">
        <v>220</v>
      </c>
      <c r="F71" s="139" t="s">
        <v>221</v>
      </c>
      <c r="G71" s="139" t="s">
        <v>222</v>
      </c>
      <c r="H71" s="153" t="s">
        <v>536</v>
      </c>
      <c r="I71" s="153" t="s">
        <v>537</v>
      </c>
      <c r="J71" s="192" t="s">
        <v>746</v>
      </c>
      <c r="K71" s="192" t="s">
        <v>747</v>
      </c>
      <c r="L71" s="132" t="s">
        <v>225</v>
      </c>
      <c r="M71" s="149"/>
      <c r="N71" s="132" t="s">
        <v>596</v>
      </c>
      <c r="O71" s="325" t="s">
        <v>618</v>
      </c>
      <c r="P71" s="325"/>
      <c r="Q71" s="132" t="s">
        <v>619</v>
      </c>
      <c r="R71" s="132" t="s">
        <v>620</v>
      </c>
      <c r="S71" s="156"/>
      <c r="T71" s="156"/>
      <c r="U71" s="156"/>
      <c r="V71" s="156"/>
      <c r="W71" s="156"/>
    </row>
    <row r="72" spans="1:24">
      <c r="A72" s="157"/>
      <c r="B72" s="56" t="s">
        <v>1021</v>
      </c>
      <c r="C72" s="56">
        <v>64</v>
      </c>
      <c r="D72" s="6">
        <f>C72 / E62</f>
        <v>65.683462898777066</v>
      </c>
      <c r="E72" s="132">
        <f t="shared" ref="E72:E80" si="11">LOOKUP(B72, ArmorNames, ArmorDensity)</f>
        <v>7.86</v>
      </c>
      <c r="F72" s="132">
        <f t="shared" ref="F72:F80" si="12">LOOKUP(B72, ArmorNames, ArmorKE)</f>
        <v>0.91</v>
      </c>
      <c r="G72" s="132">
        <f t="shared" ref="G72:G80" si="13">LOOKUP(B72, ArmorNames, ArmorHEAT)</f>
        <v>0.91</v>
      </c>
      <c r="H72" s="6">
        <f t="shared" ref="H72:H80" si="14">IF(C72 &gt; 0, IF(LOOKUP(B72,ArmorNames,ArmorModifier) = 1, 1, 3.4383*EXP(-0.006*C72)), 1)</f>
        <v>1</v>
      </c>
      <c r="I72" s="6">
        <f t="shared" ref="I72:I80" si="15">IF(C72&gt;0, IF(LOOKUP(B72,ArmorNames,ArmorModifier)=1, 1, 7.8657*EXP(-0.009*C72)), 1)</f>
        <v>1</v>
      </c>
      <c r="J72" s="143">
        <f>D72 * F72 * H72</f>
        <v>59.77195123788713</v>
      </c>
      <c r="K72" s="143">
        <f>D72 * G72 * I72</f>
        <v>59.77195123788713</v>
      </c>
      <c r="L72" s="132">
        <f>(C72/10)*C68*E72/1000</f>
        <v>223.16621007763172</v>
      </c>
      <c r="M72" s="6"/>
      <c r="N72" s="143">
        <f xml:space="preserve"> (D72 / E58) * F72 * H72</f>
        <v>59.77195123788713</v>
      </c>
      <c r="O72" s="324">
        <f xml:space="preserve"> (D72 / E58) * G72 * I72</f>
        <v>59.77195123788713</v>
      </c>
      <c r="P72" s="324"/>
      <c r="Q72" s="132">
        <f xml:space="preserve"> (D72 / E59) * F72 * H72</f>
        <v>59.77195123788713</v>
      </c>
      <c r="R72" s="132">
        <f xml:space="preserve"> (D72 / E59) * G72 * I72</f>
        <v>59.77195123788713</v>
      </c>
      <c r="S72" s="156"/>
      <c r="T72" s="156"/>
      <c r="U72" s="156"/>
      <c r="V72" s="137"/>
      <c r="W72" s="158"/>
    </row>
    <row r="73" spans="1:24">
      <c r="A73" s="157"/>
      <c r="B73" s="56" t="s">
        <v>229</v>
      </c>
      <c r="C73" s="56">
        <v>0</v>
      </c>
      <c r="D73" s="6">
        <f>C73 / E62</f>
        <v>0</v>
      </c>
      <c r="E73" s="132">
        <f t="shared" si="11"/>
        <v>0</v>
      </c>
      <c r="F73" s="132">
        <f t="shared" si="12"/>
        <v>0</v>
      </c>
      <c r="G73" s="132">
        <f t="shared" si="13"/>
        <v>0</v>
      </c>
      <c r="H73" s="6">
        <f t="shared" si="14"/>
        <v>1</v>
      </c>
      <c r="I73" s="6">
        <f t="shared" si="15"/>
        <v>1</v>
      </c>
      <c r="J73" s="143">
        <f>D73 * F73 * H73</f>
        <v>0</v>
      </c>
      <c r="K73" s="143">
        <f>D73 * G73 * I73</f>
        <v>0</v>
      </c>
      <c r="L73" s="132">
        <f>(C73/10)*C68*E73/1000</f>
        <v>0</v>
      </c>
      <c r="M73" s="6"/>
      <c r="N73" s="143">
        <f xml:space="preserve"> (D73 / E58) * F73 * H73</f>
        <v>0</v>
      </c>
      <c r="O73" s="324">
        <f xml:space="preserve"> (D73 / E58) * G73 * I73</f>
        <v>0</v>
      </c>
      <c r="P73" s="324"/>
      <c r="Q73" s="132">
        <f xml:space="preserve"> (D73 / E59) * F73 * H73</f>
        <v>0</v>
      </c>
      <c r="R73" s="132">
        <f xml:space="preserve"> (D73 / E59) * G73 * I73</f>
        <v>0</v>
      </c>
      <c r="S73" s="156"/>
      <c r="T73" s="156"/>
      <c r="U73" s="156"/>
      <c r="V73" s="137"/>
      <c r="W73" s="158"/>
    </row>
    <row r="74" spans="1:24">
      <c r="A74" s="157"/>
      <c r="B74" s="152" t="s">
        <v>229</v>
      </c>
      <c r="C74" s="56">
        <v>0</v>
      </c>
      <c r="D74" s="6">
        <f>C74 / E62</f>
        <v>0</v>
      </c>
      <c r="E74" s="132">
        <f t="shared" si="11"/>
        <v>0</v>
      </c>
      <c r="F74" s="132">
        <f t="shared" si="12"/>
        <v>0</v>
      </c>
      <c r="G74" s="132">
        <f t="shared" si="13"/>
        <v>0</v>
      </c>
      <c r="H74" s="6">
        <f t="shared" si="14"/>
        <v>1</v>
      </c>
      <c r="I74" s="6">
        <f t="shared" si="15"/>
        <v>1</v>
      </c>
      <c r="J74" s="143">
        <f t="shared" ref="J74" si="16">D74 * F74 * H74</f>
        <v>0</v>
      </c>
      <c r="K74" s="143">
        <f t="shared" ref="K74:K80" si="17">D74 * G74 * I74</f>
        <v>0</v>
      </c>
      <c r="L74" s="132">
        <f>(C74/10)*C68*E74/1000</f>
        <v>0</v>
      </c>
      <c r="M74" s="6"/>
      <c r="N74" s="143">
        <f xml:space="preserve"> (D74 / E58) * F74 * H74</f>
        <v>0</v>
      </c>
      <c r="O74" s="324">
        <f xml:space="preserve"> (D74 / E58) * G74 * I74</f>
        <v>0</v>
      </c>
      <c r="P74" s="324"/>
      <c r="Q74" s="132">
        <f xml:space="preserve"> (D74 / E59) * F74 * H74</f>
        <v>0</v>
      </c>
      <c r="R74" s="132">
        <f xml:space="preserve"> (D74 / E59) * G74 * I74</f>
        <v>0</v>
      </c>
      <c r="S74" s="156"/>
      <c r="T74" s="156"/>
      <c r="U74" s="156"/>
      <c r="V74" s="137"/>
      <c r="W74" s="156"/>
    </row>
    <row r="75" spans="1:24">
      <c r="A75" s="157"/>
      <c r="B75" s="56" t="s">
        <v>229</v>
      </c>
      <c r="C75" s="56">
        <v>0</v>
      </c>
      <c r="D75" s="6">
        <f>C75 / E62</f>
        <v>0</v>
      </c>
      <c r="E75" s="132">
        <f t="shared" si="11"/>
        <v>0</v>
      </c>
      <c r="F75" s="132">
        <f t="shared" si="12"/>
        <v>0</v>
      </c>
      <c r="G75" s="132">
        <f t="shared" si="13"/>
        <v>0</v>
      </c>
      <c r="H75" s="6">
        <f t="shared" si="14"/>
        <v>1</v>
      </c>
      <c r="I75" s="6">
        <f t="shared" si="15"/>
        <v>1</v>
      </c>
      <c r="J75" s="143">
        <f>D75 * F75 * H75</f>
        <v>0</v>
      </c>
      <c r="K75" s="143">
        <f t="shared" si="17"/>
        <v>0</v>
      </c>
      <c r="L75" s="132">
        <f>(C75/10)*C68*E75/1000</f>
        <v>0</v>
      </c>
      <c r="M75" s="6"/>
      <c r="N75" s="143">
        <f xml:space="preserve"> (D75 / E58) * F75 * H75</f>
        <v>0</v>
      </c>
      <c r="O75" s="324">
        <f xml:space="preserve"> (D75 / E58) * G75 * I75</f>
        <v>0</v>
      </c>
      <c r="P75" s="324"/>
      <c r="Q75" s="132">
        <f xml:space="preserve"> (D75 / E59) * F75 * H75</f>
        <v>0</v>
      </c>
      <c r="R75" s="132">
        <f xml:space="preserve"> (D75 / E59) * G75 * I75</f>
        <v>0</v>
      </c>
      <c r="S75" s="156"/>
      <c r="T75" s="156"/>
      <c r="U75" s="156"/>
      <c r="V75" s="137"/>
      <c r="W75" s="158"/>
    </row>
    <row r="76" spans="1:24">
      <c r="A76" s="157"/>
      <c r="B76" s="56" t="s">
        <v>229</v>
      </c>
      <c r="C76" s="56">
        <v>0</v>
      </c>
      <c r="D76" s="6">
        <f>C76 / E62</f>
        <v>0</v>
      </c>
      <c r="E76" s="132">
        <f t="shared" si="11"/>
        <v>0</v>
      </c>
      <c r="F76" s="132">
        <f t="shared" si="12"/>
        <v>0</v>
      </c>
      <c r="G76" s="132">
        <f t="shared" si="13"/>
        <v>0</v>
      </c>
      <c r="H76" s="6">
        <f t="shared" si="14"/>
        <v>1</v>
      </c>
      <c r="I76" s="6">
        <f t="shared" si="15"/>
        <v>1</v>
      </c>
      <c r="J76" s="143">
        <f t="shared" ref="J76:J80" si="18">D76 * F76 * H76</f>
        <v>0</v>
      </c>
      <c r="K76" s="143">
        <f t="shared" si="17"/>
        <v>0</v>
      </c>
      <c r="L76" s="132">
        <f>(C76/10)*C68*E76/1000</f>
        <v>0</v>
      </c>
      <c r="M76" s="6"/>
      <c r="N76" s="143">
        <f xml:space="preserve"> (D76 / E58) * F76 * H76</f>
        <v>0</v>
      </c>
      <c r="O76" s="324">
        <f xml:space="preserve"> (D76 / E58) * G76 * I76</f>
        <v>0</v>
      </c>
      <c r="P76" s="324"/>
      <c r="Q76" s="132">
        <f xml:space="preserve"> (D76 / E59) * F76 * H76</f>
        <v>0</v>
      </c>
      <c r="R76" s="132">
        <f xml:space="preserve"> (D76 / E59) * G76 * I76</f>
        <v>0</v>
      </c>
      <c r="S76" s="156"/>
      <c r="T76" s="156"/>
      <c r="U76" s="156"/>
      <c r="V76" s="137"/>
      <c r="W76" s="158"/>
    </row>
    <row r="77" spans="1:24">
      <c r="A77" s="157"/>
      <c r="B77" s="56" t="s">
        <v>229</v>
      </c>
      <c r="C77" s="56">
        <v>0</v>
      </c>
      <c r="D77" s="6">
        <f>C77 / E62</f>
        <v>0</v>
      </c>
      <c r="E77" s="132">
        <f t="shared" si="11"/>
        <v>0</v>
      </c>
      <c r="F77" s="132">
        <f t="shared" si="12"/>
        <v>0</v>
      </c>
      <c r="G77" s="132">
        <f t="shared" si="13"/>
        <v>0</v>
      </c>
      <c r="H77" s="6">
        <f t="shared" si="14"/>
        <v>1</v>
      </c>
      <c r="I77" s="6">
        <f t="shared" si="15"/>
        <v>1</v>
      </c>
      <c r="J77" s="143">
        <f t="shared" si="18"/>
        <v>0</v>
      </c>
      <c r="K77" s="143">
        <f t="shared" si="17"/>
        <v>0</v>
      </c>
      <c r="L77" s="132">
        <f>(C77/10)*C68*E77/1000</f>
        <v>0</v>
      </c>
      <c r="M77" s="6"/>
      <c r="N77" s="143">
        <f xml:space="preserve"> (D77 / E58) * F77 * H77</f>
        <v>0</v>
      </c>
      <c r="O77" s="324">
        <f xml:space="preserve"> (D77 / E58) * G77 * I77</f>
        <v>0</v>
      </c>
      <c r="P77" s="324"/>
      <c r="Q77" s="132">
        <f xml:space="preserve"> (D77 / E59) * F77 * H77</f>
        <v>0</v>
      </c>
      <c r="R77" s="132">
        <f xml:space="preserve"> (D77 / E59) * G77 * I77</f>
        <v>0</v>
      </c>
      <c r="S77" s="156"/>
      <c r="T77" s="156"/>
      <c r="U77" s="156"/>
      <c r="V77" s="137"/>
      <c r="W77" s="158"/>
    </row>
    <row r="78" spans="1:24">
      <c r="A78" s="157"/>
      <c r="B78" s="56" t="s">
        <v>229</v>
      </c>
      <c r="C78" s="56">
        <v>0</v>
      </c>
      <c r="D78" s="6">
        <f>C78 / E62</f>
        <v>0</v>
      </c>
      <c r="E78" s="132">
        <f t="shared" si="11"/>
        <v>0</v>
      </c>
      <c r="F78" s="132">
        <f t="shared" si="12"/>
        <v>0</v>
      </c>
      <c r="G78" s="132">
        <f t="shared" si="13"/>
        <v>0</v>
      </c>
      <c r="H78" s="6">
        <f t="shared" si="14"/>
        <v>1</v>
      </c>
      <c r="I78" s="6">
        <f t="shared" si="15"/>
        <v>1</v>
      </c>
      <c r="J78" s="143">
        <f t="shared" si="18"/>
        <v>0</v>
      </c>
      <c r="K78" s="143">
        <f t="shared" si="17"/>
        <v>0</v>
      </c>
      <c r="L78" s="132">
        <f>(C78/10)*C68*E78/1000</f>
        <v>0</v>
      </c>
      <c r="M78" s="6"/>
      <c r="N78" s="143">
        <f xml:space="preserve"> (D78 / E58) * F78 * H78</f>
        <v>0</v>
      </c>
      <c r="O78" s="324">
        <f xml:space="preserve"> (D78 / E58) * G78 * I78</f>
        <v>0</v>
      </c>
      <c r="P78" s="324"/>
      <c r="Q78" s="132">
        <f xml:space="preserve"> (D78 / E59) * F78 * H78</f>
        <v>0</v>
      </c>
      <c r="R78" s="132">
        <f xml:space="preserve"> (D78 / E59) * G78 * I78</f>
        <v>0</v>
      </c>
      <c r="S78" s="156"/>
      <c r="T78" s="156"/>
      <c r="U78" s="156"/>
      <c r="V78" s="156"/>
      <c r="W78" s="156"/>
    </row>
    <row r="79" spans="1:24">
      <c r="A79" s="157"/>
      <c r="B79" s="56" t="s">
        <v>229</v>
      </c>
      <c r="C79" s="56">
        <v>0</v>
      </c>
      <c r="D79" s="6">
        <f>C79 / E62</f>
        <v>0</v>
      </c>
      <c r="E79" s="132">
        <f t="shared" si="11"/>
        <v>0</v>
      </c>
      <c r="F79" s="132">
        <f t="shared" si="12"/>
        <v>0</v>
      </c>
      <c r="G79" s="132">
        <f t="shared" si="13"/>
        <v>0</v>
      </c>
      <c r="H79" s="6">
        <f t="shared" si="14"/>
        <v>1</v>
      </c>
      <c r="I79" s="6">
        <f t="shared" si="15"/>
        <v>1</v>
      </c>
      <c r="J79" s="143">
        <f t="shared" si="18"/>
        <v>0</v>
      </c>
      <c r="K79" s="143">
        <f t="shared" si="17"/>
        <v>0</v>
      </c>
      <c r="L79" s="132">
        <f>(C79/10)*C68*E79/1000</f>
        <v>0</v>
      </c>
      <c r="M79" s="6"/>
      <c r="N79" s="143">
        <f xml:space="preserve"> (D79 / E58) * F79 * H79</f>
        <v>0</v>
      </c>
      <c r="O79" s="324">
        <f xml:space="preserve"> (D79 / E58) * G79 * I79</f>
        <v>0</v>
      </c>
      <c r="P79" s="324"/>
      <c r="Q79" s="132">
        <f xml:space="preserve"> (D79 / E59) * F79 * H79</f>
        <v>0</v>
      </c>
      <c r="R79" s="132">
        <f xml:space="preserve"> (D79 / E59) * G79 * I79</f>
        <v>0</v>
      </c>
      <c r="S79" s="156"/>
      <c r="T79" s="156"/>
      <c r="U79" s="156"/>
      <c r="V79" s="156"/>
      <c r="W79" s="156"/>
    </row>
    <row r="80" spans="1:24">
      <c r="A80" s="156"/>
      <c r="B80" s="152" t="s">
        <v>229</v>
      </c>
      <c r="C80" s="152">
        <v>0</v>
      </c>
      <c r="D80" s="6">
        <f>C80 / E62</f>
        <v>0</v>
      </c>
      <c r="E80" s="132">
        <f t="shared" si="11"/>
        <v>0</v>
      </c>
      <c r="F80" s="132">
        <f t="shared" si="12"/>
        <v>0</v>
      </c>
      <c r="G80" s="132">
        <f t="shared" si="13"/>
        <v>0</v>
      </c>
      <c r="H80" s="6">
        <f t="shared" si="14"/>
        <v>1</v>
      </c>
      <c r="I80" s="6">
        <f t="shared" si="15"/>
        <v>1</v>
      </c>
      <c r="J80" s="143">
        <f t="shared" si="18"/>
        <v>0</v>
      </c>
      <c r="K80" s="143">
        <f t="shared" si="17"/>
        <v>0</v>
      </c>
      <c r="L80" s="132">
        <f>(C80/10)*C68*E80/1000</f>
        <v>0</v>
      </c>
      <c r="M80" s="6"/>
      <c r="N80" s="143">
        <f xml:space="preserve"> (D80 / E58) * F80 * H80</f>
        <v>0</v>
      </c>
      <c r="O80" s="324">
        <f xml:space="preserve"> (D80 / E58) * G80 * I80</f>
        <v>0</v>
      </c>
      <c r="P80" s="324"/>
      <c r="Q80" s="132">
        <f xml:space="preserve"> (D80 / E59) * F80 * H80</f>
        <v>0</v>
      </c>
      <c r="R80" s="132">
        <f xml:space="preserve"> (D80 / E59) * G80 * I80</f>
        <v>0</v>
      </c>
      <c r="S80" s="156"/>
      <c r="T80" s="156"/>
      <c r="U80" s="156"/>
      <c r="V80" s="156"/>
      <c r="W80" s="156"/>
    </row>
    <row r="81" spans="1:23">
      <c r="A81" s="156"/>
      <c r="B81" s="133" t="s">
        <v>230</v>
      </c>
      <c r="C81" s="141">
        <f>SUM(C72:C80)</f>
        <v>64</v>
      </c>
      <c r="D81">
        <f xml:space="preserve"> SUM(D72:D80)</f>
        <v>65.683462898777066</v>
      </c>
      <c r="E81" s="134"/>
      <c r="F81" s="134"/>
      <c r="G81" s="134"/>
      <c r="H81"/>
      <c r="I81"/>
      <c r="J81" s="143">
        <f>SUM(J72:J80)</f>
        <v>59.77195123788713</v>
      </c>
      <c r="K81" s="143">
        <f>SUM(K72:K80)</f>
        <v>59.77195123788713</v>
      </c>
      <c r="L81" s="132">
        <f>SUM(L72:L80)</f>
        <v>223.16621007763172</v>
      </c>
      <c r="M81" t="s">
        <v>276</v>
      </c>
      <c r="N81" s="143">
        <f>SUM(N72:N80)</f>
        <v>59.77195123788713</v>
      </c>
      <c r="O81" s="324">
        <f>SUM(O72:O80)</f>
        <v>59.77195123788713</v>
      </c>
      <c r="P81" s="324"/>
      <c r="Q81" s="132">
        <f>SUM(Q72:Q80)</f>
        <v>59.77195123788713</v>
      </c>
      <c r="R81" s="132">
        <f>SUM(R72:R80)</f>
        <v>59.77195123788713</v>
      </c>
      <c r="S81" s="156"/>
      <c r="T81" s="156"/>
      <c r="U81" s="156"/>
      <c r="V81" s="156"/>
      <c r="W81" s="156"/>
    </row>
    <row r="82" spans="1:23">
      <c r="A82" s="156"/>
      <c r="B82" s="133"/>
      <c r="C82" s="139"/>
      <c r="D82" s="134"/>
      <c r="E82" s="134"/>
      <c r="F82"/>
      <c r="G82"/>
      <c r="H82"/>
      <c r="I82" s="134" t="s">
        <v>231</v>
      </c>
      <c r="J82" s="56">
        <v>1.1299999999999999</v>
      </c>
      <c r="K82" s="140"/>
      <c r="L82" s="131"/>
      <c r="M82" s="136"/>
      <c r="N82" s="151">
        <f xml:space="preserve"> N81 * J82</f>
        <v>67.542304898812446</v>
      </c>
      <c r="O82" s="156"/>
      <c r="P82" s="156"/>
      <c r="Q82" s="132">
        <f xml:space="preserve"> Q81 * J82</f>
        <v>67.542304898812446</v>
      </c>
      <c r="R82" s="132"/>
      <c r="S82" s="156"/>
      <c r="T82" s="156"/>
      <c r="U82" s="156"/>
      <c r="V82" s="156"/>
      <c r="W82" s="156"/>
    </row>
    <row r="83" spans="1:23">
      <c r="A83" s="156"/>
      <c r="B83" s="133"/>
      <c r="C83" s="139"/>
      <c r="D83" s="134"/>
      <c r="E83" s="134"/>
      <c r="F83"/>
      <c r="G83"/>
      <c r="H83"/>
      <c r="I83" s="134"/>
      <c r="J83" s="132">
        <f>J81*J82</f>
        <v>67.542304898812446</v>
      </c>
      <c r="K83" s="131"/>
      <c r="L83" s="132">
        <f>L81/1000</f>
        <v>0.22316621007763171</v>
      </c>
      <c r="M83" s="136" t="s">
        <v>840</v>
      </c>
      <c r="N83" s="162"/>
      <c r="O83" s="156"/>
      <c r="P83" s="156"/>
      <c r="Q83" s="156"/>
      <c r="R83" s="156"/>
      <c r="S83" s="156"/>
      <c r="T83" s="156"/>
      <c r="U83" s="156"/>
      <c r="V83" s="156"/>
      <c r="W83" s="156"/>
    </row>
    <row r="84" spans="1:23" ht="15.75" thickBot="1">
      <c r="A84" s="156"/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</row>
    <row r="85" spans="1:23" ht="15.75" thickTop="1">
      <c r="A85" s="156"/>
      <c r="B85" s="157"/>
      <c r="C85" s="154"/>
      <c r="D85" s="154"/>
      <c r="E85" s="154"/>
      <c r="F85" s="154"/>
      <c r="G85" s="132"/>
      <c r="H85" s="132"/>
      <c r="I85" s="132"/>
      <c r="J85" s="136"/>
      <c r="K85" s="132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</row>
    <row r="86" spans="1:23" ht="15.75">
      <c r="A86" s="156"/>
      <c r="B86" s="159" t="s">
        <v>594</v>
      </c>
      <c r="C86" s="154"/>
      <c r="D86" s="154"/>
      <c r="E86" s="154"/>
      <c r="F86" s="154"/>
      <c r="G86" s="132"/>
      <c r="H86" s="132"/>
      <c r="I86" s="132"/>
      <c r="J86" s="156"/>
      <c r="K86" s="132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</row>
    <row r="87" spans="1:23">
      <c r="A87" s="156"/>
      <c r="B87" s="230" t="s">
        <v>889</v>
      </c>
      <c r="C87" s="177">
        <v>0</v>
      </c>
      <c r="D87" s="154" t="s">
        <v>191</v>
      </c>
      <c r="E87" s="154"/>
      <c r="F87" s="154"/>
      <c r="G87" s="278"/>
      <c r="H87" s="278"/>
      <c r="I87" s="278"/>
      <c r="J87" s="156"/>
      <c r="K87" s="278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</row>
    <row r="88" spans="1:23">
      <c r="A88" s="156"/>
      <c r="B88" s="142" t="s">
        <v>623</v>
      </c>
      <c r="C88" s="173">
        <v>0</v>
      </c>
      <c r="D88" s="154" t="s">
        <v>297</v>
      </c>
      <c r="E88" s="176" t="str">
        <f xml:space="preserve"> IF(O91 &lt; 0, "BAD", "OKAY")</f>
        <v>OKAY</v>
      </c>
      <c r="F88" s="154"/>
      <c r="G88" s="132"/>
      <c r="H88" s="132"/>
      <c r="I88" s="132"/>
      <c r="J88" s="156"/>
      <c r="K88" s="132"/>
      <c r="L88" s="156"/>
      <c r="M88" s="156"/>
      <c r="N88" s="5" t="s">
        <v>578</v>
      </c>
      <c r="O88"/>
      <c r="P88"/>
      <c r="Q88" t="s">
        <v>300</v>
      </c>
      <c r="R88">
        <f xml:space="preserve"> IF(C89 = 0, 0, IF( T91 &gt; T90, T91, T90))</f>
        <v>0</v>
      </c>
    </row>
    <row r="89" spans="1:23">
      <c r="A89" s="156"/>
      <c r="B89" s="145" t="s">
        <v>590</v>
      </c>
      <c r="C89" s="167">
        <v>0</v>
      </c>
      <c r="D89" s="154" t="s">
        <v>210</v>
      </c>
      <c r="E89" s="131">
        <f>IF(C89 = 0, 1, COS(RADIANS(C89)))</f>
        <v>1</v>
      </c>
      <c r="F89" s="131" t="s">
        <v>535</v>
      </c>
      <c r="G89" s="131"/>
      <c r="H89" s="131"/>
      <c r="I89" s="132"/>
      <c r="J89" s="156"/>
      <c r="K89" s="132"/>
      <c r="L89" s="156"/>
      <c r="M89" s="156"/>
      <c r="N89" s="5" t="s">
        <v>294</v>
      </c>
      <c r="O89" s="174">
        <f xml:space="preserve"> C7 * (1 - C87)</f>
        <v>0.54</v>
      </c>
      <c r="P89" s="4" t="s">
        <v>297</v>
      </c>
      <c r="Q89"/>
      <c r="R89"/>
    </row>
    <row r="90" spans="1:23">
      <c r="A90" s="156"/>
      <c r="B90" s="138" t="s">
        <v>211</v>
      </c>
      <c r="C90" s="147">
        <f xml:space="preserve"> R91 + R90</f>
        <v>0.54</v>
      </c>
      <c r="D90" s="147" t="s">
        <v>297</v>
      </c>
      <c r="E90" s="135">
        <f>C90*100</f>
        <v>54</v>
      </c>
      <c r="F90" s="131" t="s">
        <v>212</v>
      </c>
      <c r="G90" s="131">
        <f>E90 * 'Hull Design'!G2</f>
        <v>21.259842498000001</v>
      </c>
      <c r="H90" s="131" t="s">
        <v>303</v>
      </c>
      <c r="I90" s="132"/>
      <c r="J90" s="156"/>
      <c r="K90" s="132"/>
      <c r="L90" s="156"/>
      <c r="M90" s="156"/>
      <c r="N90" s="5" t="s">
        <v>613</v>
      </c>
      <c r="O90" s="174">
        <f xml:space="preserve"> IF(O96 &gt; 0, C88 / O96, 0)</f>
        <v>0</v>
      </c>
      <c r="P90" s="4" t="s">
        <v>297</v>
      </c>
      <c r="Q90" s="4" t="s">
        <v>301</v>
      </c>
      <c r="R90" s="4">
        <f xml:space="preserve"> IF( O90 = 0, 0, O90 / O95)</f>
        <v>0</v>
      </c>
      <c r="S90" s="6" t="s">
        <v>615</v>
      </c>
      <c r="T90" s="4">
        <f>C89</f>
        <v>0</v>
      </c>
    </row>
    <row r="91" spans="1:23">
      <c r="A91" s="156"/>
      <c r="B91" s="138" t="s">
        <v>213</v>
      </c>
      <c r="C91" s="150">
        <f xml:space="preserve"> C6 - D81 / 500</f>
        <v>1.3692954277868377</v>
      </c>
      <c r="D91" s="147" t="s">
        <v>297</v>
      </c>
      <c r="E91" s="135">
        <f>C91*100</f>
        <v>136.92954277868375</v>
      </c>
      <c r="F91" s="131" t="s">
        <v>212</v>
      </c>
      <c r="G91" s="131">
        <f>E91 * 'Hull Design'!G2</f>
        <v>53.909268755517957</v>
      </c>
      <c r="H91" s="131" t="s">
        <v>303</v>
      </c>
      <c r="I91" s="132"/>
      <c r="J91" s="156"/>
      <c r="K91" s="132"/>
      <c r="L91" s="156"/>
      <c r="M91" s="156"/>
      <c r="N91" s="5" t="s">
        <v>612</v>
      </c>
      <c r="O91" s="175">
        <f xml:space="preserve"> O89 - O90</f>
        <v>0.54</v>
      </c>
      <c r="P91" s="4" t="s">
        <v>297</v>
      </c>
      <c r="Q91" t="s">
        <v>301</v>
      </c>
      <c r="R91">
        <f xml:space="preserve"> IF( C91 = 0, 0, O91 / O94)</f>
        <v>0.54</v>
      </c>
      <c r="S91" s="6" t="s">
        <v>615</v>
      </c>
      <c r="T91" s="4">
        <f>IF(O41 = 0, 0, O91 * O96)</f>
        <v>0</v>
      </c>
    </row>
    <row r="92" spans="1:23">
      <c r="A92" s="156"/>
      <c r="B92" s="138" t="s">
        <v>214</v>
      </c>
      <c r="C92" s="150">
        <f xml:space="preserve"> C5 - D81 / 500</f>
        <v>1.618633074202446</v>
      </c>
      <c r="D92" s="147" t="s">
        <v>297</v>
      </c>
      <c r="E92" s="135">
        <f>C92*100</f>
        <v>161.86330742024461</v>
      </c>
      <c r="F92" s="131" t="s">
        <v>212</v>
      </c>
      <c r="G92" s="131">
        <f>E92 * 'Hull Design'!G2</f>
        <v>63.725711517773242</v>
      </c>
      <c r="H92" s="131" t="s">
        <v>303</v>
      </c>
      <c r="I92" s="132"/>
      <c r="J92" s="156"/>
      <c r="K92" s="132"/>
      <c r="L92" s="156"/>
      <c r="M92" s="156"/>
      <c r="N92" s="5" t="s">
        <v>295</v>
      </c>
      <c r="O92">
        <f>IF(C89 = 0, 0, RADIANS(C89))</f>
        <v>0</v>
      </c>
      <c r="P92" t="s">
        <v>296</v>
      </c>
      <c r="Q92"/>
      <c r="R92"/>
    </row>
    <row r="93" spans="1:23">
      <c r="A93" s="156"/>
      <c r="B93" s="138" t="s">
        <v>215</v>
      </c>
      <c r="C93" s="160">
        <f xml:space="preserve"> (E91 + E92) * E90</f>
        <v>16134.813910742132</v>
      </c>
      <c r="D93" s="156" t="s">
        <v>216</v>
      </c>
      <c r="E93" s="156"/>
      <c r="F93" s="156"/>
      <c r="G93" s="131">
        <f>C93 * 'Hull Design'!G2^2</f>
        <v>2500.9011528655078</v>
      </c>
      <c r="H93" s="131" t="s">
        <v>538</v>
      </c>
      <c r="I93" s="132"/>
      <c r="J93" s="156"/>
      <c r="K93" s="132"/>
      <c r="L93" s="156"/>
      <c r="M93" s="156"/>
      <c r="P93"/>
      <c r="Q93"/>
      <c r="R93"/>
    </row>
    <row r="94" spans="1:23">
      <c r="A94" s="156"/>
      <c r="B94" s="138" t="s">
        <v>595</v>
      </c>
      <c r="C94" s="158">
        <f xml:space="preserve"> (C93 / 100^2) * (C106 / 1000)</f>
        <v>0.10326280902874964</v>
      </c>
      <c r="D94" s="147" t="s">
        <v>255</v>
      </c>
      <c r="G94" s="131">
        <f>C94 * 'Hull Design'!G3^ 3</f>
        <v>3.6466917022039311</v>
      </c>
      <c r="H94" s="131" t="s">
        <v>539</v>
      </c>
      <c r="I94" s="132"/>
      <c r="J94" s="156"/>
      <c r="K94" s="132"/>
      <c r="L94" s="156"/>
      <c r="M94" s="156"/>
      <c r="N94" s="5" t="s">
        <v>614</v>
      </c>
      <c r="O94">
        <f>COS(O92)</f>
        <v>1</v>
      </c>
      <c r="P94"/>
      <c r="Q94"/>
      <c r="R94"/>
    </row>
    <row r="95" spans="1:23">
      <c r="A95" s="156"/>
      <c r="B95" s="147"/>
      <c r="C95" s="147"/>
      <c r="D95" s="147"/>
      <c r="E95" s="156"/>
      <c r="F95" s="156"/>
      <c r="G95" s="132"/>
      <c r="H95" s="132"/>
      <c r="I95" s="132"/>
      <c r="J95" s="156"/>
      <c r="K95" s="132"/>
      <c r="L95" s="156"/>
      <c r="M95" s="156"/>
      <c r="N95" s="5" t="s">
        <v>298</v>
      </c>
      <c r="O95">
        <f>SIN(O92)</f>
        <v>0</v>
      </c>
      <c r="P95"/>
      <c r="Q95"/>
      <c r="R95"/>
    </row>
    <row r="96" spans="1:23">
      <c r="A96" s="156"/>
      <c r="B96" s="139" t="s">
        <v>243</v>
      </c>
      <c r="C96" s="134" t="s">
        <v>219</v>
      </c>
      <c r="D96" s="153" t="s">
        <v>534</v>
      </c>
      <c r="E96" s="134" t="s">
        <v>220</v>
      </c>
      <c r="F96" s="139" t="s">
        <v>221</v>
      </c>
      <c r="G96" s="139" t="s">
        <v>222</v>
      </c>
      <c r="H96" s="153" t="s">
        <v>536</v>
      </c>
      <c r="I96" s="153" t="s">
        <v>537</v>
      </c>
      <c r="J96" s="192" t="s">
        <v>746</v>
      </c>
      <c r="K96" s="192" t="s">
        <v>747</v>
      </c>
      <c r="L96" s="132" t="s">
        <v>225</v>
      </c>
      <c r="M96" s="149"/>
      <c r="N96" s="5" t="s">
        <v>299</v>
      </c>
      <c r="O96">
        <f>TAN(O92)</f>
        <v>0</v>
      </c>
    </row>
    <row r="97" spans="1:18">
      <c r="A97" s="157"/>
      <c r="B97" s="56" t="s">
        <v>1021</v>
      </c>
      <c r="C97" s="56">
        <v>64</v>
      </c>
      <c r="D97" s="6">
        <f>C97 / E89</f>
        <v>64</v>
      </c>
      <c r="E97" s="132">
        <f t="shared" ref="E97:E105" si="19">LOOKUP(B97, ArmorNames, ArmorDensity)</f>
        <v>7.86</v>
      </c>
      <c r="F97" s="132">
        <f t="shared" ref="F97:F105" si="20">LOOKUP(B97, ArmorNames, ArmorKE)</f>
        <v>0.91</v>
      </c>
      <c r="G97" s="132">
        <f t="shared" ref="G97:G105" si="21">LOOKUP(B97, ArmorNames, ArmorHEAT)</f>
        <v>0.91</v>
      </c>
      <c r="H97" s="6">
        <f t="shared" ref="H97:H105" si="22">IF(C97 &gt; 0, IF(LOOKUP(B97,ArmorNames,ArmorModifier) = 1, 1, 3.4383*EXP(-0.006*C97)), 1)</f>
        <v>1</v>
      </c>
      <c r="I97" s="6">
        <f t="shared" ref="I97:I105" si="23">IF(C97&gt;0, IF(LOOKUP(B97,ArmorNames,ArmorModifier)=1, 1, 7.8657*EXP(-0.009*C97)), 1)</f>
        <v>1</v>
      </c>
      <c r="J97" s="143">
        <f>D97 * F97 * H97</f>
        <v>58.24</v>
      </c>
      <c r="K97" s="143">
        <f>D97 * G97 * I97</f>
        <v>58.24</v>
      </c>
      <c r="L97" s="132">
        <f>(C97/10)*C93*E97/1000</f>
        <v>811.64567896597225</v>
      </c>
      <c r="M97" s="6"/>
      <c r="N97" s="143"/>
      <c r="O97" s="324"/>
      <c r="P97" s="324"/>
      <c r="Q97" s="132"/>
      <c r="R97" s="132"/>
    </row>
    <row r="98" spans="1:18">
      <c r="A98" s="157"/>
      <c r="B98" s="56" t="s">
        <v>229</v>
      </c>
      <c r="C98" s="56">
        <v>0</v>
      </c>
      <c r="D98" s="6">
        <f>C98 / E89</f>
        <v>0</v>
      </c>
      <c r="E98" s="132">
        <f t="shared" si="19"/>
        <v>0</v>
      </c>
      <c r="F98" s="132">
        <f t="shared" si="20"/>
        <v>0</v>
      </c>
      <c r="G98" s="132">
        <f t="shared" si="21"/>
        <v>0</v>
      </c>
      <c r="H98" s="6">
        <f t="shared" si="22"/>
        <v>1</v>
      </c>
      <c r="I98" s="6">
        <f t="shared" si="23"/>
        <v>1</v>
      </c>
      <c r="J98" s="143">
        <f>D98 * F98 * H98</f>
        <v>0</v>
      </c>
      <c r="K98" s="143">
        <f>D98 * G98 * I98</f>
        <v>0</v>
      </c>
      <c r="L98" s="132">
        <f>(C98/10)*C93*E98/1000</f>
        <v>0</v>
      </c>
      <c r="M98" s="6"/>
      <c r="N98" s="143"/>
      <c r="O98" s="324"/>
      <c r="P98" s="324"/>
      <c r="Q98" s="132"/>
      <c r="R98" s="132"/>
    </row>
    <row r="99" spans="1:18">
      <c r="A99" s="157"/>
      <c r="B99" s="152" t="s">
        <v>229</v>
      </c>
      <c r="C99" s="56">
        <v>0</v>
      </c>
      <c r="D99" s="6">
        <f>C99 / E89</f>
        <v>0</v>
      </c>
      <c r="E99" s="132">
        <f t="shared" si="19"/>
        <v>0</v>
      </c>
      <c r="F99" s="132">
        <f t="shared" si="20"/>
        <v>0</v>
      </c>
      <c r="G99" s="132">
        <f t="shared" si="21"/>
        <v>0</v>
      </c>
      <c r="H99" s="6">
        <f t="shared" si="22"/>
        <v>1</v>
      </c>
      <c r="I99" s="6">
        <f t="shared" si="23"/>
        <v>1</v>
      </c>
      <c r="J99" s="143">
        <f t="shared" ref="J99" si="24">D99 * F99 * H99</f>
        <v>0</v>
      </c>
      <c r="K99" s="143">
        <f t="shared" ref="K99:K105" si="25">D99 * G99 * I99</f>
        <v>0</v>
      </c>
      <c r="L99" s="132">
        <f>(C99/10)*C93*E99/1000</f>
        <v>0</v>
      </c>
      <c r="M99" s="6"/>
      <c r="N99" s="143"/>
      <c r="O99" s="324"/>
      <c r="P99" s="324"/>
      <c r="Q99" s="132"/>
      <c r="R99" s="132"/>
    </row>
    <row r="100" spans="1:18">
      <c r="A100" s="157"/>
      <c r="B100" s="56" t="s">
        <v>229</v>
      </c>
      <c r="C100" s="56">
        <v>0</v>
      </c>
      <c r="D100" s="6">
        <f>C100 / E89</f>
        <v>0</v>
      </c>
      <c r="E100" s="132">
        <f t="shared" si="19"/>
        <v>0</v>
      </c>
      <c r="F100" s="132">
        <f t="shared" si="20"/>
        <v>0</v>
      </c>
      <c r="G100" s="132">
        <f t="shared" si="21"/>
        <v>0</v>
      </c>
      <c r="H100" s="6">
        <f t="shared" si="22"/>
        <v>1</v>
      </c>
      <c r="I100" s="6">
        <f t="shared" si="23"/>
        <v>1</v>
      </c>
      <c r="J100" s="143">
        <f>D100 * F100 * H100</f>
        <v>0</v>
      </c>
      <c r="K100" s="143">
        <f t="shared" si="25"/>
        <v>0</v>
      </c>
      <c r="L100" s="132">
        <f>(C100/10)*C93*E100/1000</f>
        <v>0</v>
      </c>
      <c r="M100" s="6"/>
      <c r="N100" s="143"/>
      <c r="O100" s="324"/>
      <c r="P100" s="324"/>
      <c r="Q100" s="132"/>
      <c r="R100" s="132"/>
    </row>
    <row r="101" spans="1:18">
      <c r="A101" s="157"/>
      <c r="B101" s="56" t="s">
        <v>229</v>
      </c>
      <c r="C101" s="56">
        <v>0</v>
      </c>
      <c r="D101" s="6">
        <f>C101 / E89</f>
        <v>0</v>
      </c>
      <c r="E101" s="132">
        <f t="shared" si="19"/>
        <v>0</v>
      </c>
      <c r="F101" s="132">
        <f t="shared" si="20"/>
        <v>0</v>
      </c>
      <c r="G101" s="132">
        <f t="shared" si="21"/>
        <v>0</v>
      </c>
      <c r="H101" s="6">
        <f t="shared" si="22"/>
        <v>1</v>
      </c>
      <c r="I101" s="6">
        <f t="shared" si="23"/>
        <v>1</v>
      </c>
      <c r="J101" s="143">
        <f t="shared" ref="J101:J105" si="26">D101 * F101 * H101</f>
        <v>0</v>
      </c>
      <c r="K101" s="143">
        <f t="shared" si="25"/>
        <v>0</v>
      </c>
      <c r="L101" s="132">
        <f>(C101/10)*C93*E101/1000</f>
        <v>0</v>
      </c>
      <c r="M101" s="6"/>
      <c r="N101" s="143"/>
      <c r="O101" s="324"/>
      <c r="P101" s="324"/>
      <c r="Q101" s="132"/>
      <c r="R101" s="132"/>
    </row>
    <row r="102" spans="1:18">
      <c r="A102" s="157"/>
      <c r="B102" s="56" t="s">
        <v>229</v>
      </c>
      <c r="C102" s="56">
        <v>0</v>
      </c>
      <c r="D102" s="6">
        <f>C102 / E89</f>
        <v>0</v>
      </c>
      <c r="E102" s="132">
        <f t="shared" si="19"/>
        <v>0</v>
      </c>
      <c r="F102" s="132">
        <f t="shared" si="20"/>
        <v>0</v>
      </c>
      <c r="G102" s="132">
        <f t="shared" si="21"/>
        <v>0</v>
      </c>
      <c r="H102" s="6">
        <f t="shared" si="22"/>
        <v>1</v>
      </c>
      <c r="I102" s="6">
        <f t="shared" si="23"/>
        <v>1</v>
      </c>
      <c r="J102" s="143">
        <f t="shared" si="26"/>
        <v>0</v>
      </c>
      <c r="K102" s="143">
        <f t="shared" si="25"/>
        <v>0</v>
      </c>
      <c r="L102" s="132">
        <f>(C102/10)*C93*E102/1000</f>
        <v>0</v>
      </c>
      <c r="M102" s="6"/>
      <c r="N102" s="143"/>
      <c r="O102" s="324"/>
      <c r="P102" s="324"/>
      <c r="Q102" s="132"/>
      <c r="R102" s="132"/>
    </row>
    <row r="103" spans="1:18">
      <c r="A103" s="157"/>
      <c r="B103" s="56" t="s">
        <v>229</v>
      </c>
      <c r="C103" s="56">
        <v>0</v>
      </c>
      <c r="D103" s="6">
        <f>C103 / E89</f>
        <v>0</v>
      </c>
      <c r="E103" s="132">
        <f t="shared" si="19"/>
        <v>0</v>
      </c>
      <c r="F103" s="132">
        <f t="shared" si="20"/>
        <v>0</v>
      </c>
      <c r="G103" s="132">
        <f t="shared" si="21"/>
        <v>0</v>
      </c>
      <c r="H103" s="6">
        <f t="shared" si="22"/>
        <v>1</v>
      </c>
      <c r="I103" s="6">
        <f t="shared" si="23"/>
        <v>1</v>
      </c>
      <c r="J103" s="143">
        <f t="shared" si="26"/>
        <v>0</v>
      </c>
      <c r="K103" s="143">
        <f t="shared" si="25"/>
        <v>0</v>
      </c>
      <c r="L103" s="132">
        <f>(C103/10)*C93*E103/1000</f>
        <v>0</v>
      </c>
      <c r="M103" s="6"/>
      <c r="N103" s="143"/>
      <c r="O103" s="324"/>
      <c r="P103" s="324"/>
      <c r="Q103" s="132"/>
      <c r="R103" s="132"/>
    </row>
    <row r="104" spans="1:18">
      <c r="A104" s="157"/>
      <c r="B104" s="56" t="s">
        <v>229</v>
      </c>
      <c r="C104" s="56">
        <v>0</v>
      </c>
      <c r="D104" s="6">
        <f>C104 / E89</f>
        <v>0</v>
      </c>
      <c r="E104" s="132">
        <f t="shared" si="19"/>
        <v>0</v>
      </c>
      <c r="F104" s="132">
        <f t="shared" si="20"/>
        <v>0</v>
      </c>
      <c r="G104" s="132">
        <f t="shared" si="21"/>
        <v>0</v>
      </c>
      <c r="H104" s="6">
        <f t="shared" si="22"/>
        <v>1</v>
      </c>
      <c r="I104" s="6">
        <f t="shared" si="23"/>
        <v>1</v>
      </c>
      <c r="J104" s="143">
        <f t="shared" si="26"/>
        <v>0</v>
      </c>
      <c r="K104" s="143">
        <f t="shared" si="25"/>
        <v>0</v>
      </c>
      <c r="L104" s="132">
        <f>(C104/10)*C93*E104/1000</f>
        <v>0</v>
      </c>
      <c r="M104" s="6"/>
      <c r="N104" s="143"/>
      <c r="O104" s="324"/>
      <c r="P104" s="324"/>
      <c r="Q104" s="132"/>
      <c r="R104" s="132"/>
    </row>
    <row r="105" spans="1:18">
      <c r="A105" s="156"/>
      <c r="B105" s="152" t="s">
        <v>229</v>
      </c>
      <c r="C105" s="152">
        <v>0</v>
      </c>
      <c r="D105" s="6">
        <f>C105 / E89</f>
        <v>0</v>
      </c>
      <c r="E105" s="132">
        <f t="shared" si="19"/>
        <v>0</v>
      </c>
      <c r="F105" s="132">
        <f t="shared" si="20"/>
        <v>0</v>
      </c>
      <c r="G105" s="132">
        <f t="shared" si="21"/>
        <v>0</v>
      </c>
      <c r="H105" s="6">
        <f t="shared" si="22"/>
        <v>1</v>
      </c>
      <c r="I105" s="6">
        <f t="shared" si="23"/>
        <v>1</v>
      </c>
      <c r="J105" s="143">
        <f t="shared" si="26"/>
        <v>0</v>
      </c>
      <c r="K105" s="143">
        <f t="shared" si="25"/>
        <v>0</v>
      </c>
      <c r="L105" s="132">
        <f>(C105/10)*C93*E105/1000</f>
        <v>0</v>
      </c>
      <c r="M105" s="6"/>
      <c r="N105" s="143"/>
      <c r="O105" s="324"/>
      <c r="P105" s="324"/>
      <c r="Q105" s="132"/>
      <c r="R105" s="132"/>
    </row>
    <row r="106" spans="1:18">
      <c r="A106" s="156"/>
      <c r="B106" s="133" t="s">
        <v>230</v>
      </c>
      <c r="C106" s="141">
        <f>SUM(C97:C105)</f>
        <v>64</v>
      </c>
      <c r="D106">
        <f xml:space="preserve"> SUM(D97:D105)</f>
        <v>64</v>
      </c>
      <c r="E106" s="134"/>
      <c r="F106" s="134"/>
      <c r="G106" s="134"/>
      <c r="H106"/>
      <c r="I106"/>
      <c r="J106" s="143">
        <f>SUM(J97:J105)</f>
        <v>58.24</v>
      </c>
      <c r="K106" s="143">
        <f>SUM(K97:K105)</f>
        <v>58.24</v>
      </c>
      <c r="L106" s="132">
        <f>SUM(L97:L105)</f>
        <v>811.64567896597225</v>
      </c>
      <c r="M106" t="s">
        <v>276</v>
      </c>
      <c r="N106" s="143"/>
      <c r="O106" s="324"/>
      <c r="P106" s="324"/>
      <c r="Q106" s="132"/>
      <c r="R106" s="132"/>
    </row>
    <row r="107" spans="1:18">
      <c r="A107" s="156"/>
      <c r="B107" s="133"/>
      <c r="C107" s="139"/>
      <c r="D107" s="134"/>
      <c r="E107" s="134"/>
      <c r="F107"/>
      <c r="G107"/>
      <c r="H107"/>
      <c r="I107" s="134" t="s">
        <v>231</v>
      </c>
      <c r="J107" s="56">
        <v>1.1299999999999999</v>
      </c>
      <c r="K107" s="140"/>
      <c r="L107" s="131"/>
      <c r="M107" s="136"/>
      <c r="N107" s="151"/>
      <c r="O107" s="156"/>
      <c r="P107" s="156"/>
      <c r="Q107" s="132"/>
      <c r="R107" s="132"/>
    </row>
    <row r="108" spans="1:18">
      <c r="A108" s="156"/>
      <c r="B108" s="133"/>
      <c r="C108" s="139"/>
      <c r="D108" s="134"/>
      <c r="E108" s="134"/>
      <c r="F108"/>
      <c r="G108"/>
      <c r="H108"/>
      <c r="I108" s="134"/>
      <c r="J108" s="132">
        <f>J106*J107</f>
        <v>65.811199999999999</v>
      </c>
      <c r="K108" s="131"/>
      <c r="L108" s="132">
        <f>L106/1000</f>
        <v>0.81164567896597228</v>
      </c>
      <c r="M108" s="136" t="s">
        <v>840</v>
      </c>
      <c r="N108" s="162"/>
      <c r="O108" s="156"/>
      <c r="P108" s="156"/>
      <c r="Q108" s="156"/>
      <c r="R108" s="156"/>
    </row>
    <row r="109" spans="1:18" ht="15.75" thickBot="1">
      <c r="A109" s="156"/>
      <c r="B109" s="161"/>
      <c r="C109" s="161"/>
      <c r="D109" s="161"/>
      <c r="E109" s="161"/>
      <c r="F109" s="161"/>
      <c r="G109" s="161"/>
      <c r="H109" s="161"/>
      <c r="I109" s="161"/>
      <c r="J109" s="161"/>
      <c r="K109" s="161"/>
      <c r="L109" s="156"/>
      <c r="M109" s="156"/>
      <c r="N109" s="156"/>
      <c r="O109" s="156"/>
      <c r="P109" s="156"/>
      <c r="Q109" s="156"/>
      <c r="R109" s="156"/>
    </row>
    <row r="110" spans="1:18" ht="15.75" thickTop="1">
      <c r="A110" s="156"/>
      <c r="B110" s="157"/>
      <c r="C110" s="154"/>
      <c r="D110" s="154"/>
      <c r="E110" s="154"/>
      <c r="F110" s="154"/>
      <c r="G110" s="132"/>
      <c r="H110" s="132"/>
      <c r="I110" s="132"/>
      <c r="J110" s="136"/>
      <c r="K110" s="132"/>
      <c r="L110" s="156"/>
      <c r="M110" s="156"/>
      <c r="N110" s="156"/>
      <c r="O110" s="156"/>
      <c r="P110" s="156"/>
      <c r="Q110" s="156"/>
      <c r="R110" s="156"/>
    </row>
    <row r="111" spans="1:18" ht="15.75">
      <c r="A111" s="156"/>
      <c r="B111" s="159" t="s">
        <v>258</v>
      </c>
      <c r="C111" s="154"/>
      <c r="D111" s="154"/>
      <c r="E111" s="154"/>
      <c r="F111" s="154"/>
      <c r="G111" s="132"/>
      <c r="H111" s="132"/>
      <c r="I111" s="132"/>
      <c r="J111" s="156"/>
      <c r="K111" s="132"/>
      <c r="L111" s="156"/>
      <c r="M111" s="156"/>
      <c r="N111" s="5" t="s">
        <v>626</v>
      </c>
      <c r="O111"/>
      <c r="P111"/>
      <c r="Q111"/>
      <c r="R111"/>
    </row>
    <row r="112" spans="1:18">
      <c r="A112" s="156"/>
      <c r="B112" s="142" t="s">
        <v>622</v>
      </c>
      <c r="C112" s="173">
        <v>0</v>
      </c>
      <c r="D112" s="154" t="s">
        <v>210</v>
      </c>
      <c r="E112" s="131">
        <f>COS(RADIANS(90-C112))</f>
        <v>6.1257422745431001E-17</v>
      </c>
      <c r="F112" s="157" t="s">
        <v>535</v>
      </c>
      <c r="G112" s="179">
        <f>COS(RADIANS(C112))</f>
        <v>1</v>
      </c>
      <c r="H112" s="141" t="s">
        <v>535</v>
      </c>
      <c r="I112" s="132"/>
      <c r="J112" s="156"/>
      <c r="K112" s="132"/>
      <c r="L112" s="156"/>
      <c r="M112" s="156"/>
      <c r="N112" s="5" t="s">
        <v>637</v>
      </c>
      <c r="O112">
        <f>IF(C112 = 0, 0, RADIANS(C112))</f>
        <v>0</v>
      </c>
      <c r="P112" s="4" t="s">
        <v>296</v>
      </c>
      <c r="Q112" s="4" t="s">
        <v>301</v>
      </c>
      <c r="R112" s="4">
        <f xml:space="preserve"> IF( O112 = 0,  C114, C114 / O115)</f>
        <v>0.1514903320081219</v>
      </c>
    </row>
    <row r="113" spans="1:20">
      <c r="A113" s="156"/>
      <c r="B113" s="142" t="s">
        <v>621</v>
      </c>
      <c r="C113" s="173">
        <v>0</v>
      </c>
      <c r="D113" s="154" t="s">
        <v>210</v>
      </c>
      <c r="E113" s="131">
        <f>COS(RADIANS(90-C113))</f>
        <v>6.1257422745431001E-17</v>
      </c>
      <c r="F113" s="157" t="s">
        <v>535</v>
      </c>
      <c r="G113" s="179">
        <f>COS(RADIANS(C113))</f>
        <v>1</v>
      </c>
      <c r="H113" s="141" t="s">
        <v>535</v>
      </c>
      <c r="I113" s="132"/>
      <c r="J113" s="156"/>
      <c r="K113" s="132"/>
      <c r="L113" s="156"/>
      <c r="M113" s="156"/>
      <c r="N113" s="5" t="s">
        <v>638</v>
      </c>
      <c r="O113">
        <f>IF(C113 = 0, 0, RADIANS(C113))</f>
        <v>0</v>
      </c>
      <c r="P113" t="s">
        <v>296</v>
      </c>
      <c r="Q113" t="s">
        <v>301</v>
      </c>
      <c r="R113" s="4">
        <f xml:space="preserve"> IF( O113 = 0, C115, C115 / R115)</f>
        <v>0.90399999999999991</v>
      </c>
      <c r="S113" s="6"/>
      <c r="T113" s="175"/>
    </row>
    <row r="114" spans="1:20">
      <c r="A114" s="156"/>
      <c r="B114" s="138" t="s">
        <v>636</v>
      </c>
      <c r="C114" s="150">
        <f xml:space="preserve"> (C9 * C60) - D52 / 1000</f>
        <v>0.1514903320081219</v>
      </c>
      <c r="D114" s="147" t="s">
        <v>297</v>
      </c>
      <c r="E114" s="135">
        <f t="shared" ref="E114:E119" si="27">C114*100</f>
        <v>15.149033200812189</v>
      </c>
      <c r="F114" s="131" t="s">
        <v>212</v>
      </c>
      <c r="G114" s="131">
        <f>E114 * 'Hull Design'!G2</f>
        <v>5.9641862934488881</v>
      </c>
      <c r="H114" s="131" t="s">
        <v>303</v>
      </c>
      <c r="I114" s="132"/>
      <c r="J114" s="156"/>
      <c r="K114" s="132"/>
      <c r="L114" s="156"/>
      <c r="M114" s="156"/>
      <c r="P114"/>
      <c r="Q114"/>
      <c r="R114"/>
      <c r="S114" s="6"/>
    </row>
    <row r="115" spans="1:20">
      <c r="A115" s="156"/>
      <c r="B115" s="138" t="s">
        <v>635</v>
      </c>
      <c r="C115" s="150">
        <f xml:space="preserve"> C9 * (1- C60) - D106 / 1000</f>
        <v>0.90399999999999991</v>
      </c>
      <c r="D115" s="147" t="s">
        <v>297</v>
      </c>
      <c r="E115" s="135">
        <f t="shared" si="27"/>
        <v>90.399999999999991</v>
      </c>
      <c r="F115" s="131" t="s">
        <v>212</v>
      </c>
      <c r="G115" s="131">
        <f>E115 * 'Hull Design'!G2</f>
        <v>35.590551144799996</v>
      </c>
      <c r="H115" s="131" t="s">
        <v>303</v>
      </c>
      <c r="I115" s="132"/>
      <c r="J115" s="156"/>
      <c r="K115" s="132"/>
      <c r="L115" s="156"/>
      <c r="M115" s="156"/>
      <c r="N115" s="5" t="s">
        <v>614</v>
      </c>
      <c r="O115">
        <f>COS(O112)</f>
        <v>1</v>
      </c>
      <c r="P115"/>
      <c r="Q115" s="5" t="s">
        <v>614</v>
      </c>
      <c r="R115">
        <f xml:space="preserve"> COS(O113)</f>
        <v>1</v>
      </c>
      <c r="S115" s="6"/>
    </row>
    <row r="116" spans="1:20">
      <c r="A116" s="156"/>
      <c r="B116" s="138" t="s">
        <v>627</v>
      </c>
      <c r="C116" s="150">
        <f xml:space="preserve"> C6 - (2 * C60 * C8 * TAN(ACOS(E58))) - D81 / 500</f>
        <v>1.3692954277868377</v>
      </c>
      <c r="D116" s="147" t="s">
        <v>297</v>
      </c>
      <c r="E116" s="135">
        <f t="shared" si="27"/>
        <v>136.92954277868375</v>
      </c>
      <c r="F116" s="131"/>
      <c r="G116" s="131">
        <f>E116 * 'Hull Design'!G2</f>
        <v>53.909268755517957</v>
      </c>
      <c r="H116" s="131" t="s">
        <v>303</v>
      </c>
      <c r="I116" s="132"/>
      <c r="J116" s="156"/>
      <c r="K116" s="132"/>
      <c r="L116" s="156"/>
      <c r="M116" s="156"/>
      <c r="N116" s="5" t="s">
        <v>298</v>
      </c>
      <c r="O116">
        <f>SIN(O112)</f>
        <v>0</v>
      </c>
      <c r="P116"/>
      <c r="Q116" s="5" t="s">
        <v>298</v>
      </c>
      <c r="R116">
        <f xml:space="preserve"> SIN(O113)</f>
        <v>0</v>
      </c>
      <c r="S116" s="6"/>
    </row>
    <row r="117" spans="1:20">
      <c r="A117" s="156"/>
      <c r="B117" s="138" t="s">
        <v>628</v>
      </c>
      <c r="C117" s="150">
        <f xml:space="preserve"> C6 - (2 * C60 * C8 * TAN(ACOS(E59))) - D81 / 500</f>
        <v>1.3692954277868377</v>
      </c>
      <c r="D117" s="147" t="s">
        <v>297</v>
      </c>
      <c r="E117" s="135">
        <f t="shared" si="27"/>
        <v>136.92954277868375</v>
      </c>
      <c r="F117" s="131" t="s">
        <v>212</v>
      </c>
      <c r="G117" s="131">
        <f>E117 * 'Hull Design'!G2</f>
        <v>53.909268755517957</v>
      </c>
      <c r="H117" s="131" t="s">
        <v>303</v>
      </c>
      <c r="I117" s="132"/>
      <c r="J117" s="156"/>
      <c r="K117" s="132"/>
      <c r="L117" s="156"/>
      <c r="M117" s="156"/>
      <c r="N117" s="5" t="s">
        <v>299</v>
      </c>
      <c r="O117">
        <f>TAN(O112)</f>
        <v>0</v>
      </c>
      <c r="P117"/>
      <c r="Q117" s="5" t="s">
        <v>299</v>
      </c>
      <c r="R117">
        <f xml:space="preserve"> TAN(O113)</f>
        <v>0</v>
      </c>
    </row>
    <row r="118" spans="1:20">
      <c r="A118" s="156"/>
      <c r="B118" s="138" t="s">
        <v>634</v>
      </c>
      <c r="C118" s="150">
        <f xml:space="preserve"> C6 - D81 / 500</f>
        <v>1.3692954277868377</v>
      </c>
      <c r="D118" s="147" t="s">
        <v>297</v>
      </c>
      <c r="E118" s="135">
        <f t="shared" si="27"/>
        <v>136.92954277868375</v>
      </c>
      <c r="F118" s="131" t="s">
        <v>212</v>
      </c>
      <c r="G118" s="131">
        <f>E118 * 'Hull Design'!G2</f>
        <v>53.909268755517957</v>
      </c>
      <c r="H118" s="131" t="s">
        <v>303</v>
      </c>
      <c r="I118" s="132"/>
      <c r="J118" s="156"/>
      <c r="K118" s="132"/>
      <c r="L118" s="156"/>
      <c r="M118" s="156"/>
    </row>
    <row r="119" spans="1:20">
      <c r="A119" s="156"/>
      <c r="B119" s="138" t="s">
        <v>639</v>
      </c>
      <c r="C119" s="163">
        <f>(C116 + C118) * 0.5 * R112 * 100^2</f>
        <v>2074.3501897263131</v>
      </c>
      <c r="D119" s="147" t="s">
        <v>216</v>
      </c>
      <c r="E119" s="135">
        <f t="shared" si="27"/>
        <v>207435.01897263131</v>
      </c>
      <c r="F119" s="131" t="s">
        <v>212</v>
      </c>
      <c r="G119" s="131">
        <f>C119 * 'Hull Design'!G2^2</f>
        <v>321.52492180151256</v>
      </c>
      <c r="H119" s="131" t="s">
        <v>538</v>
      </c>
      <c r="I119" s="132"/>
      <c r="J119" s="156"/>
      <c r="K119" s="132"/>
      <c r="L119" s="156"/>
      <c r="M119" s="156"/>
      <c r="Q119"/>
      <c r="R119"/>
    </row>
    <row r="120" spans="1:20">
      <c r="A120" s="156"/>
      <c r="B120" s="138" t="s">
        <v>640</v>
      </c>
      <c r="C120" s="163">
        <f xml:space="preserve"> (C117 + C118) * 0.5 * R113 * 100^2</f>
        <v>12378.430667193012</v>
      </c>
      <c r="D120" s="147" t="s">
        <v>216</v>
      </c>
      <c r="E120" s="135"/>
      <c r="F120" s="131"/>
      <c r="G120" s="131">
        <f>C120 * 'Hull Design'!G2^2</f>
        <v>1918.6605868220306</v>
      </c>
      <c r="H120" s="131" t="s">
        <v>538</v>
      </c>
      <c r="I120" s="132"/>
      <c r="J120" s="156"/>
      <c r="K120" s="132"/>
      <c r="L120" s="156"/>
      <c r="M120" s="156"/>
      <c r="Q120"/>
      <c r="R120"/>
    </row>
    <row r="121" spans="1:20">
      <c r="A121" s="156"/>
      <c r="B121" s="138" t="s">
        <v>264</v>
      </c>
      <c r="C121" s="158">
        <f xml:space="preserve"> ((C119 / 100^2) * (C134 / 1000)) + ((C120 / 100^2) * (C148 / 1000))</f>
        <v>3.6131952142298314E-2</v>
      </c>
      <c r="D121" s="147" t="s">
        <v>218</v>
      </c>
      <c r="E121" s="156"/>
      <c r="F121" s="156"/>
      <c r="G121" s="131">
        <f>C121 * 'Hull Design'!G3^ 3</f>
        <v>1.2759878537205454</v>
      </c>
      <c r="H121" s="131" t="s">
        <v>539</v>
      </c>
      <c r="I121" s="132"/>
      <c r="J121" s="156"/>
      <c r="K121" s="132"/>
      <c r="L121" s="156"/>
      <c r="M121" s="156"/>
      <c r="Q121"/>
      <c r="R121"/>
    </row>
    <row r="122" spans="1:20">
      <c r="A122" s="156"/>
      <c r="B122" s="154"/>
      <c r="C122" s="154"/>
      <c r="D122" s="154"/>
      <c r="G122" s="131"/>
      <c r="H122" s="131"/>
      <c r="I122" s="132"/>
      <c r="J122" s="156"/>
      <c r="K122" s="132"/>
      <c r="L122" s="156"/>
      <c r="M122" s="156"/>
      <c r="Q122"/>
      <c r="R122"/>
    </row>
    <row r="123" spans="1:20">
      <c r="A123" s="156"/>
      <c r="B123" s="176" t="s">
        <v>625</v>
      </c>
      <c r="C123" s="154"/>
      <c r="D123" s="154"/>
      <c r="G123" s="131"/>
      <c r="H123" s="131"/>
      <c r="I123" s="132"/>
      <c r="J123" s="156"/>
      <c r="K123" s="132"/>
      <c r="L123" s="156"/>
      <c r="M123" s="156"/>
    </row>
    <row r="124" spans="1:20">
      <c r="A124" s="156"/>
      <c r="B124" s="139" t="s">
        <v>243</v>
      </c>
      <c r="C124" s="134" t="s">
        <v>219</v>
      </c>
      <c r="D124" s="153" t="s">
        <v>534</v>
      </c>
      <c r="E124" s="134" t="s">
        <v>220</v>
      </c>
      <c r="F124" s="139" t="s">
        <v>221</v>
      </c>
      <c r="G124" s="139" t="s">
        <v>222</v>
      </c>
      <c r="H124" s="153" t="s">
        <v>536</v>
      </c>
      <c r="I124" s="153" t="s">
        <v>537</v>
      </c>
      <c r="J124" s="192" t="s">
        <v>746</v>
      </c>
      <c r="K124" s="192" t="s">
        <v>747</v>
      </c>
      <c r="L124" s="132" t="s">
        <v>225</v>
      </c>
      <c r="M124" s="149"/>
      <c r="N124" s="153" t="s">
        <v>534</v>
      </c>
      <c r="O124" s="325" t="s">
        <v>617</v>
      </c>
      <c r="P124" s="325"/>
      <c r="Q124" s="132" t="s">
        <v>618</v>
      </c>
      <c r="R124" s="156"/>
    </row>
    <row r="125" spans="1:20">
      <c r="A125" s="157"/>
      <c r="B125" s="56" t="s">
        <v>1021</v>
      </c>
      <c r="C125" s="56">
        <v>25</v>
      </c>
      <c r="D125" s="6">
        <f xml:space="preserve"> IF(C112 = 0, C125, C125 / G112)</f>
        <v>25</v>
      </c>
      <c r="E125" s="132">
        <f t="shared" ref="E125:E133" si="28">LOOKUP(B125, ArmorNames, ArmorDensity)</f>
        <v>7.86</v>
      </c>
      <c r="F125" s="132">
        <f t="shared" ref="F125:F133" si="29">LOOKUP(B125, ArmorNames, ArmorKE)</f>
        <v>0.91</v>
      </c>
      <c r="G125" s="132">
        <f t="shared" ref="G125:G133" si="30">LOOKUP(B125, ArmorNames, ArmorHEAT)</f>
        <v>0.91</v>
      </c>
      <c r="H125" s="6">
        <f t="shared" ref="H125:H133" si="31">IF(C125 &gt; 0, IF(LOOKUP(B125,ArmorNames,ArmorModifier) = 1, 1, 3.4383*EXP(-0.006*C125)), 1)</f>
        <v>1</v>
      </c>
      <c r="I125" s="6">
        <f t="shared" ref="I125:I133" si="32">IF(C125&gt;0, IF(LOOKUP(B125,ArmorNames,ArmorModifier)=1, 1, 7.8657*EXP(-0.009*C125)), 1)</f>
        <v>1</v>
      </c>
      <c r="J125" s="143">
        <f t="shared" ref="J125:J126" si="33">D125 * F125 * H125</f>
        <v>22.75</v>
      </c>
      <c r="K125" s="143">
        <f t="shared" ref="K125:K126" si="34">D125 * G125 * I125</f>
        <v>22.75</v>
      </c>
      <c r="L125" s="132">
        <f>(C125/10) * (C119/2) * (E125/1000)</f>
        <v>20.380490614061028</v>
      </c>
      <c r="M125" s="6"/>
      <c r="N125" s="6">
        <f xml:space="preserve"> IF(C112 = 0, 0, C125 / E112)</f>
        <v>0</v>
      </c>
      <c r="O125" s="324">
        <f xml:space="preserve"> (N125 / E112) * F125 * H125</f>
        <v>0</v>
      </c>
      <c r="P125" s="324"/>
      <c r="Q125" s="143">
        <f xml:space="preserve"> (N125 / E112) * G125 * I125</f>
        <v>0</v>
      </c>
      <c r="R125" s="158"/>
    </row>
    <row r="126" spans="1:20">
      <c r="A126" s="157"/>
      <c r="B126" s="56" t="s">
        <v>229</v>
      </c>
      <c r="C126" s="56">
        <v>0</v>
      </c>
      <c r="D126" s="6">
        <f xml:space="preserve"> IF(C112 = 0, C126, C126 / G112)</f>
        <v>0</v>
      </c>
      <c r="E126" s="132">
        <f t="shared" si="28"/>
        <v>0</v>
      </c>
      <c r="F126" s="132">
        <f t="shared" si="29"/>
        <v>0</v>
      </c>
      <c r="G126" s="132">
        <f t="shared" si="30"/>
        <v>0</v>
      </c>
      <c r="H126" s="6">
        <f t="shared" si="31"/>
        <v>1</v>
      </c>
      <c r="I126" s="6">
        <f t="shared" si="32"/>
        <v>1</v>
      </c>
      <c r="J126" s="143">
        <f t="shared" si="33"/>
        <v>0</v>
      </c>
      <c r="K126" s="143">
        <f t="shared" si="34"/>
        <v>0</v>
      </c>
      <c r="L126" s="132">
        <f>(C126/10) * (C119/2) * (E126/1000)</f>
        <v>0</v>
      </c>
      <c r="M126" s="6"/>
      <c r="N126" s="6">
        <f xml:space="preserve"> IF(C112 = 0, 0, C126 / E112)</f>
        <v>0</v>
      </c>
      <c r="O126" s="324">
        <f xml:space="preserve"> (N126 / E112) * F126 * H126</f>
        <v>0</v>
      </c>
      <c r="P126" s="324"/>
      <c r="Q126" s="143">
        <f xml:space="preserve"> (N126 / E112) * G126 * I126</f>
        <v>0</v>
      </c>
      <c r="R126" s="158"/>
    </row>
    <row r="127" spans="1:20">
      <c r="A127" s="157"/>
      <c r="B127" s="152" t="s">
        <v>229</v>
      </c>
      <c r="C127" s="56">
        <v>0</v>
      </c>
      <c r="D127" s="6">
        <f xml:space="preserve"> IF(C112 = 0, C127, C127 / G112)</f>
        <v>0</v>
      </c>
      <c r="E127" s="132">
        <f t="shared" si="28"/>
        <v>0</v>
      </c>
      <c r="F127" s="132">
        <f t="shared" si="29"/>
        <v>0</v>
      </c>
      <c r="G127" s="132">
        <f t="shared" si="30"/>
        <v>0</v>
      </c>
      <c r="H127" s="6">
        <f t="shared" si="31"/>
        <v>1</v>
      </c>
      <c r="I127" s="6">
        <f t="shared" si="32"/>
        <v>1</v>
      </c>
      <c r="J127" s="143">
        <f>D127 * F127 * H127</f>
        <v>0</v>
      </c>
      <c r="K127" s="143">
        <f>D127 * G127 * I127</f>
        <v>0</v>
      </c>
      <c r="L127" s="132">
        <f>(C127/10) * (C119/2) * (E127/1000)</f>
        <v>0</v>
      </c>
      <c r="M127" s="6"/>
      <c r="N127" s="6">
        <f xml:space="preserve"> IF(C112 = 0, 0, C127 / E112)</f>
        <v>0</v>
      </c>
      <c r="O127" s="324">
        <f xml:space="preserve"> (N127 / E112) * F127 * H127</f>
        <v>0</v>
      </c>
      <c r="P127" s="324"/>
      <c r="Q127" s="143">
        <f xml:space="preserve"> (N127 / E112) * G127 * I127</f>
        <v>0</v>
      </c>
      <c r="R127" s="158"/>
    </row>
    <row r="128" spans="1:20">
      <c r="A128" s="157"/>
      <c r="B128" s="56" t="s">
        <v>229</v>
      </c>
      <c r="C128" s="56">
        <v>0</v>
      </c>
      <c r="D128" s="6">
        <f xml:space="preserve"> IF(C112 = 0, C128, C128 / G112)</f>
        <v>0</v>
      </c>
      <c r="E128" s="132">
        <f t="shared" si="28"/>
        <v>0</v>
      </c>
      <c r="F128" s="132">
        <f t="shared" si="29"/>
        <v>0</v>
      </c>
      <c r="G128" s="132">
        <f t="shared" si="30"/>
        <v>0</v>
      </c>
      <c r="H128" s="6">
        <f t="shared" si="31"/>
        <v>1</v>
      </c>
      <c r="I128" s="6">
        <f t="shared" si="32"/>
        <v>1</v>
      </c>
      <c r="J128" s="143">
        <f t="shared" ref="J128:J133" si="35">D128 * F128 * H128</f>
        <v>0</v>
      </c>
      <c r="K128" s="143">
        <f t="shared" ref="K128:K133" si="36">D128 * G128 * I128</f>
        <v>0</v>
      </c>
      <c r="L128" s="132">
        <f>(C128/10) * (C119/2) * (E128/1000)</f>
        <v>0</v>
      </c>
      <c r="M128" s="6"/>
      <c r="N128" s="6">
        <f xml:space="preserve"> IF(C112 = 0, 0, C128 / E112)</f>
        <v>0</v>
      </c>
      <c r="O128" s="324">
        <f xml:space="preserve"> (N128 / E112) * F128 * H128</f>
        <v>0</v>
      </c>
      <c r="P128" s="324"/>
      <c r="Q128" s="143">
        <f xml:space="preserve"> (N128 / E112) * G128 * I128</f>
        <v>0</v>
      </c>
      <c r="R128" s="158"/>
    </row>
    <row r="129" spans="1:18">
      <c r="A129" s="157"/>
      <c r="B129" s="56" t="s">
        <v>229</v>
      </c>
      <c r="C129" s="56">
        <v>0</v>
      </c>
      <c r="D129" s="6">
        <f xml:space="preserve"> IF(C112 = 0, C129, C129 / G112)</f>
        <v>0</v>
      </c>
      <c r="E129" s="132">
        <f t="shared" si="28"/>
        <v>0</v>
      </c>
      <c r="F129" s="132">
        <f t="shared" si="29"/>
        <v>0</v>
      </c>
      <c r="G129" s="132">
        <f t="shared" si="30"/>
        <v>0</v>
      </c>
      <c r="H129" s="6">
        <f t="shared" si="31"/>
        <v>1</v>
      </c>
      <c r="I129" s="6">
        <f t="shared" si="32"/>
        <v>1</v>
      </c>
      <c r="J129" s="143">
        <f t="shared" si="35"/>
        <v>0</v>
      </c>
      <c r="K129" s="143">
        <f t="shared" si="36"/>
        <v>0</v>
      </c>
      <c r="L129" s="132">
        <f>(C129/10) * (C119/2) * (E129/1000)</f>
        <v>0</v>
      </c>
      <c r="M129" s="6"/>
      <c r="N129" s="6">
        <f xml:space="preserve"> IF(C112 = 0, 0, C129 / E112)</f>
        <v>0</v>
      </c>
      <c r="O129" s="324">
        <f xml:space="preserve"> (N129 / E112) * F129 * H129</f>
        <v>0</v>
      </c>
      <c r="P129" s="324"/>
      <c r="Q129" s="143">
        <f xml:space="preserve"> (N129 / E112) * G129 * I129</f>
        <v>0</v>
      </c>
      <c r="R129" s="158"/>
    </row>
    <row r="130" spans="1:18">
      <c r="A130" s="157"/>
      <c r="B130" s="56" t="s">
        <v>229</v>
      </c>
      <c r="C130" s="56">
        <v>0</v>
      </c>
      <c r="D130" s="6">
        <f xml:space="preserve"> IF(C112 = 0, C130, C130 / G112)</f>
        <v>0</v>
      </c>
      <c r="E130" s="132">
        <f t="shared" si="28"/>
        <v>0</v>
      </c>
      <c r="F130" s="132">
        <f t="shared" si="29"/>
        <v>0</v>
      </c>
      <c r="G130" s="132">
        <f t="shared" si="30"/>
        <v>0</v>
      </c>
      <c r="H130" s="6">
        <f t="shared" si="31"/>
        <v>1</v>
      </c>
      <c r="I130" s="6">
        <f t="shared" si="32"/>
        <v>1</v>
      </c>
      <c r="J130" s="143">
        <f t="shared" si="35"/>
        <v>0</v>
      </c>
      <c r="K130" s="143">
        <f t="shared" si="36"/>
        <v>0</v>
      </c>
      <c r="L130" s="132">
        <f>(C130/10) * (C119/2) * (E130/1000)</f>
        <v>0</v>
      </c>
      <c r="M130" s="6"/>
      <c r="N130" s="6">
        <f xml:space="preserve"> IF(C112 = 0, 0, C130 / E112)</f>
        <v>0</v>
      </c>
      <c r="O130" s="324">
        <f xml:space="preserve"> (N130 / E112) * F130 * H130</f>
        <v>0</v>
      </c>
      <c r="P130" s="324"/>
      <c r="Q130" s="143">
        <f xml:space="preserve"> (N130 / E112) * G130 * I130</f>
        <v>0</v>
      </c>
      <c r="R130" s="158"/>
    </row>
    <row r="131" spans="1:18">
      <c r="A131" s="157"/>
      <c r="B131" s="56" t="s">
        <v>229</v>
      </c>
      <c r="C131" s="56">
        <v>0</v>
      </c>
      <c r="D131" s="6">
        <f xml:space="preserve"> IF(C112 = 0, C131, C131 / G112)</f>
        <v>0</v>
      </c>
      <c r="E131" s="132">
        <f t="shared" si="28"/>
        <v>0</v>
      </c>
      <c r="F131" s="132">
        <f t="shared" si="29"/>
        <v>0</v>
      </c>
      <c r="G131" s="132">
        <f t="shared" si="30"/>
        <v>0</v>
      </c>
      <c r="H131" s="6">
        <f t="shared" si="31"/>
        <v>1</v>
      </c>
      <c r="I131" s="6">
        <f t="shared" si="32"/>
        <v>1</v>
      </c>
      <c r="J131" s="143">
        <f t="shared" si="35"/>
        <v>0</v>
      </c>
      <c r="K131" s="143">
        <f t="shared" si="36"/>
        <v>0</v>
      </c>
      <c r="L131" s="132">
        <f>(C131/10) * (C119/2) * (E131/1000)</f>
        <v>0</v>
      </c>
      <c r="M131" s="6"/>
      <c r="N131" s="6">
        <f xml:space="preserve"> IF(C112 = 0, 0, C131 / E112)</f>
        <v>0</v>
      </c>
      <c r="O131" s="324">
        <f xml:space="preserve"> (N131 / E112) * F131 * H131</f>
        <v>0</v>
      </c>
      <c r="P131" s="324"/>
      <c r="Q131" s="143">
        <f xml:space="preserve"> (N131 / E112) * G131 * I131</f>
        <v>0</v>
      </c>
      <c r="R131" s="158"/>
    </row>
    <row r="132" spans="1:18">
      <c r="A132" s="157"/>
      <c r="B132" s="56" t="s">
        <v>229</v>
      </c>
      <c r="C132" s="56">
        <v>0</v>
      </c>
      <c r="D132" s="6">
        <f xml:space="preserve"> IF(C112 = 0, C132, C132 / G112)</f>
        <v>0</v>
      </c>
      <c r="E132" s="132">
        <f t="shared" si="28"/>
        <v>0</v>
      </c>
      <c r="F132" s="132">
        <f t="shared" si="29"/>
        <v>0</v>
      </c>
      <c r="G132" s="132">
        <f t="shared" si="30"/>
        <v>0</v>
      </c>
      <c r="H132" s="6">
        <f t="shared" si="31"/>
        <v>1</v>
      </c>
      <c r="I132" s="6">
        <f t="shared" si="32"/>
        <v>1</v>
      </c>
      <c r="J132" s="143">
        <f t="shared" si="35"/>
        <v>0</v>
      </c>
      <c r="K132" s="143">
        <f t="shared" si="36"/>
        <v>0</v>
      </c>
      <c r="L132" s="132">
        <f>(C132/10) * (C119/2) * (E132/1000)</f>
        <v>0</v>
      </c>
      <c r="M132" s="6"/>
      <c r="N132" s="6">
        <f xml:space="preserve"> IF(C112 = 0, 0, C132 / E112)</f>
        <v>0</v>
      </c>
      <c r="O132" s="324">
        <f xml:space="preserve"> (N132 / E112) * F132 * H132</f>
        <v>0</v>
      </c>
      <c r="P132" s="324"/>
      <c r="Q132" s="143">
        <f xml:space="preserve"> (N132 / E112) * G132 * I132</f>
        <v>0</v>
      </c>
      <c r="R132" s="158"/>
    </row>
    <row r="133" spans="1:18">
      <c r="A133" s="156"/>
      <c r="B133" s="152" t="s">
        <v>229</v>
      </c>
      <c r="C133" s="56">
        <v>0</v>
      </c>
      <c r="D133" s="6">
        <f xml:space="preserve"> IF(C112 = 0, C133, C133 / G112)</f>
        <v>0</v>
      </c>
      <c r="E133" s="132">
        <f t="shared" si="28"/>
        <v>0</v>
      </c>
      <c r="F133" s="132">
        <f t="shared" si="29"/>
        <v>0</v>
      </c>
      <c r="G133" s="132">
        <f t="shared" si="30"/>
        <v>0</v>
      </c>
      <c r="H133" s="6">
        <f t="shared" si="31"/>
        <v>1</v>
      </c>
      <c r="I133" s="6">
        <f t="shared" si="32"/>
        <v>1</v>
      </c>
      <c r="J133" s="143">
        <f t="shared" si="35"/>
        <v>0</v>
      </c>
      <c r="K133" s="143">
        <f t="shared" si="36"/>
        <v>0</v>
      </c>
      <c r="L133" s="132">
        <f>(C133/10) * (C119/2) * (E133/1000)</f>
        <v>0</v>
      </c>
      <c r="M133" s="6"/>
      <c r="N133" s="6">
        <f xml:space="preserve"> IF(C112 = 0, 0, C133 / E112)</f>
        <v>0</v>
      </c>
      <c r="O133" s="324">
        <f xml:space="preserve"> (N133 / E112) * F133 * H133</f>
        <v>0</v>
      </c>
      <c r="P133" s="324"/>
      <c r="Q133" s="143">
        <f xml:space="preserve"> (N133 / E112) * G133 * I133</f>
        <v>0</v>
      </c>
      <c r="R133" s="158"/>
    </row>
    <row r="134" spans="1:18">
      <c r="A134" s="156"/>
      <c r="B134" s="133" t="s">
        <v>230</v>
      </c>
      <c r="C134" s="141">
        <f>SUM(C125:C133)</f>
        <v>25</v>
      </c>
      <c r="D134" s="6"/>
      <c r="E134" s="134"/>
      <c r="F134" s="134"/>
      <c r="G134" s="134"/>
      <c r="H134"/>
      <c r="I134"/>
      <c r="J134" s="143">
        <f>SUM(J125:J133)</f>
        <v>22.75</v>
      </c>
      <c r="K134" s="143">
        <f>SUM(K125:K133)</f>
        <v>22.75</v>
      </c>
      <c r="L134" s="132">
        <f>SUM(L125:L133)</f>
        <v>20.380490614061028</v>
      </c>
      <c r="M134" t="s">
        <v>276</v>
      </c>
      <c r="N134"/>
      <c r="O134" s="324">
        <f>SUM(O125:O133)</f>
        <v>0</v>
      </c>
      <c r="P134" s="324"/>
      <c r="Q134" s="143">
        <f>SUM(Q125:Q133)</f>
        <v>0</v>
      </c>
      <c r="R134" s="158"/>
    </row>
    <row r="135" spans="1:18">
      <c r="A135" s="156"/>
      <c r="B135" s="133"/>
      <c r="C135" s="139"/>
      <c r="D135" s="6"/>
      <c r="E135" s="134"/>
      <c r="F135"/>
      <c r="G135"/>
      <c r="H135"/>
      <c r="I135" s="134" t="s">
        <v>231</v>
      </c>
      <c r="J135" s="56">
        <v>1.1299999999999999</v>
      </c>
      <c r="K135" s="140"/>
      <c r="L135" s="131"/>
      <c r="M135" s="136"/>
      <c r="N135" s="134"/>
      <c r="O135" s="324">
        <f xml:space="preserve"> O134 * J135</f>
        <v>0</v>
      </c>
      <c r="P135" s="324"/>
      <c r="Q135" s="132"/>
      <c r="R135" s="156"/>
    </row>
    <row r="136" spans="1:18">
      <c r="A136" s="156"/>
      <c r="B136" s="133"/>
      <c r="C136" s="139"/>
      <c r="D136" s="6"/>
      <c r="E136" s="134"/>
      <c r="F136"/>
      <c r="G136"/>
      <c r="H136"/>
      <c r="I136" s="134"/>
      <c r="J136" s="132">
        <f>J134*J135</f>
        <v>25.707499999999996</v>
      </c>
      <c r="K136" s="131"/>
      <c r="L136" s="132">
        <f>L134/1000</f>
        <v>2.0380490614061029E-2</v>
      </c>
      <c r="M136" s="136" t="s">
        <v>840</v>
      </c>
      <c r="N136" s="134"/>
      <c r="O136" s="162"/>
      <c r="Q136" s="132"/>
      <c r="R136" s="156"/>
    </row>
    <row r="137" spans="1:18">
      <c r="A137" s="156"/>
      <c r="B137" s="176" t="s">
        <v>624</v>
      </c>
      <c r="C137" s="139"/>
      <c r="D137" s="6"/>
      <c r="E137" s="134"/>
      <c r="F137"/>
      <c r="G137"/>
      <c r="H137"/>
      <c r="I137" s="134"/>
      <c r="J137" s="132"/>
      <c r="K137" s="131"/>
      <c r="L137" s="132"/>
      <c r="M137" s="136"/>
      <c r="N137" s="134"/>
      <c r="O137" s="162"/>
      <c r="Q137" s="132"/>
      <c r="R137" s="156"/>
    </row>
    <row r="138" spans="1:18">
      <c r="A138" s="156"/>
      <c r="B138" s="139" t="s">
        <v>243</v>
      </c>
      <c r="C138" s="134" t="s">
        <v>219</v>
      </c>
      <c r="D138" s="77" t="s">
        <v>534</v>
      </c>
      <c r="E138" s="134" t="s">
        <v>220</v>
      </c>
      <c r="F138" s="139" t="s">
        <v>221</v>
      </c>
      <c r="G138" s="139" t="s">
        <v>222</v>
      </c>
      <c r="H138" s="153" t="s">
        <v>536</v>
      </c>
      <c r="I138" s="153" t="s">
        <v>537</v>
      </c>
      <c r="J138" s="192" t="s">
        <v>746</v>
      </c>
      <c r="K138" s="192" t="s">
        <v>747</v>
      </c>
      <c r="L138" s="132" t="s">
        <v>225</v>
      </c>
      <c r="M138" s="149"/>
      <c r="N138" s="153" t="s">
        <v>534</v>
      </c>
      <c r="O138" s="325" t="s">
        <v>641</v>
      </c>
      <c r="P138" s="325"/>
      <c r="Q138" s="132" t="s">
        <v>642</v>
      </c>
      <c r="R138" s="156"/>
    </row>
    <row r="139" spans="1:18">
      <c r="A139" s="156"/>
      <c r="B139" s="56" t="s">
        <v>1021</v>
      </c>
      <c r="C139" s="56">
        <v>25</v>
      </c>
      <c r="D139" s="6">
        <f xml:space="preserve"> IF(C113 = 0, C139, C139 / G113)</f>
        <v>25</v>
      </c>
      <c r="E139" s="132">
        <f t="shared" ref="E139:E147" si="37">LOOKUP(B139, ArmorNames, ArmorDensity)</f>
        <v>7.86</v>
      </c>
      <c r="F139" s="132">
        <f t="shared" ref="F139:F147" si="38">LOOKUP(B139, ArmorNames, ArmorKE)</f>
        <v>0.91</v>
      </c>
      <c r="G139" s="132">
        <f t="shared" ref="G139:G147" si="39">LOOKUP(B139, ArmorNames, ArmorHEAT)</f>
        <v>0.91</v>
      </c>
      <c r="H139" s="6">
        <f t="shared" ref="H139:H147" si="40">IF(C139 &gt; 0, IF(LOOKUP(B139,ArmorNames,ArmorModifier) = 1, 1, 3.4383*EXP(-0.006*C139)), 1)</f>
        <v>1</v>
      </c>
      <c r="I139" s="6">
        <f t="shared" ref="I139:I147" si="41">IF(C139&gt;0, IF(LOOKUP(B139,ArmorNames,ArmorModifier)=1, 1, 7.8657*EXP(-0.009*C139)), 1)</f>
        <v>1</v>
      </c>
      <c r="J139" s="143">
        <f>D139 * F139 * H139</f>
        <v>22.75</v>
      </c>
      <c r="K139" s="143">
        <f>D139 * G139 * I139</f>
        <v>22.75</v>
      </c>
      <c r="L139" s="132">
        <f>(C139/10) * (C119/2) * (E139/1000)</f>
        <v>20.380490614061028</v>
      </c>
      <c r="M139" s="6"/>
      <c r="N139" s="6">
        <f xml:space="preserve"> IF(C113 = 0, 0, C139 / E113)</f>
        <v>0</v>
      </c>
      <c r="O139" s="325">
        <f xml:space="preserve"> (N139 / E113) * F139 * H139</f>
        <v>0</v>
      </c>
      <c r="P139" s="325"/>
      <c r="Q139" s="132">
        <f xml:space="preserve"> (N139 / E113) * G139 * I139</f>
        <v>0</v>
      </c>
      <c r="R139" s="156"/>
    </row>
    <row r="140" spans="1:18">
      <c r="A140" s="156"/>
      <c r="B140" s="56" t="s">
        <v>229</v>
      </c>
      <c r="C140" s="56">
        <v>0</v>
      </c>
      <c r="D140" s="6">
        <f xml:space="preserve"> IF(C113 = 0, C140, C140 / G113)</f>
        <v>0</v>
      </c>
      <c r="E140" s="132">
        <f t="shared" si="37"/>
        <v>0</v>
      </c>
      <c r="F140" s="132">
        <f t="shared" si="38"/>
        <v>0</v>
      </c>
      <c r="G140" s="132">
        <f t="shared" si="39"/>
        <v>0</v>
      </c>
      <c r="H140" s="6">
        <f t="shared" si="40"/>
        <v>1</v>
      </c>
      <c r="I140" s="6">
        <f t="shared" si="41"/>
        <v>1</v>
      </c>
      <c r="J140" s="143">
        <f t="shared" ref="J140:J147" si="42">D140 * F140 * H140</f>
        <v>0</v>
      </c>
      <c r="K140" s="143">
        <f t="shared" ref="K140:K147" si="43">D140 * G140 * I140</f>
        <v>0</v>
      </c>
      <c r="L140" s="132">
        <f>(C140/10) * (C119/2) * (E140/1000)</f>
        <v>0</v>
      </c>
      <c r="M140" s="6"/>
      <c r="N140" s="6">
        <f xml:space="preserve"> IF(C113 = 0, 0, C140 / E113)</f>
        <v>0</v>
      </c>
      <c r="O140" s="325">
        <f xml:space="preserve"> (N140 / E113) * F140 * H140</f>
        <v>0</v>
      </c>
      <c r="P140" s="325"/>
      <c r="Q140" s="132">
        <f xml:space="preserve"> (N140 / E113) * G140 * I140</f>
        <v>0</v>
      </c>
      <c r="R140" s="156"/>
    </row>
    <row r="141" spans="1:18">
      <c r="A141" s="156"/>
      <c r="B141" s="152" t="s">
        <v>229</v>
      </c>
      <c r="C141" s="56">
        <v>0</v>
      </c>
      <c r="D141" s="6">
        <f xml:space="preserve"> IF(C113 = 0, C141, C141 / G113)</f>
        <v>0</v>
      </c>
      <c r="E141" s="132">
        <f t="shared" si="37"/>
        <v>0</v>
      </c>
      <c r="F141" s="132">
        <f t="shared" si="38"/>
        <v>0</v>
      </c>
      <c r="G141" s="132">
        <f t="shared" si="39"/>
        <v>0</v>
      </c>
      <c r="H141" s="6">
        <f t="shared" si="40"/>
        <v>1</v>
      </c>
      <c r="I141" s="6">
        <f t="shared" si="41"/>
        <v>1</v>
      </c>
      <c r="J141" s="143">
        <f t="shared" si="42"/>
        <v>0</v>
      </c>
      <c r="K141" s="143">
        <f t="shared" si="43"/>
        <v>0</v>
      </c>
      <c r="L141" s="132">
        <f>(C141/10) * (C119/2) * (E141/1000)</f>
        <v>0</v>
      </c>
      <c r="M141" s="6"/>
      <c r="N141" s="6">
        <f xml:space="preserve"> IF(C113 = 0, 0, C141 / E113)</f>
        <v>0</v>
      </c>
      <c r="O141" s="325">
        <f xml:space="preserve"> (N141 / E113) * F141 * H141</f>
        <v>0</v>
      </c>
      <c r="P141" s="325"/>
      <c r="Q141" s="132">
        <f xml:space="preserve"> (N141 / E113) * G141 * I141</f>
        <v>0</v>
      </c>
      <c r="R141" s="156"/>
    </row>
    <row r="142" spans="1:18">
      <c r="A142" s="156"/>
      <c r="B142" s="56" t="s">
        <v>229</v>
      </c>
      <c r="C142" s="56">
        <v>0</v>
      </c>
      <c r="D142" s="6">
        <f xml:space="preserve"> IF(C113 = 0, C142, C142 / G113)</f>
        <v>0</v>
      </c>
      <c r="E142" s="132">
        <f t="shared" si="37"/>
        <v>0</v>
      </c>
      <c r="F142" s="132">
        <f t="shared" si="38"/>
        <v>0</v>
      </c>
      <c r="G142" s="132">
        <f t="shared" si="39"/>
        <v>0</v>
      </c>
      <c r="H142" s="6">
        <f t="shared" si="40"/>
        <v>1</v>
      </c>
      <c r="I142" s="6">
        <f t="shared" si="41"/>
        <v>1</v>
      </c>
      <c r="J142" s="143">
        <f t="shared" si="42"/>
        <v>0</v>
      </c>
      <c r="K142" s="143">
        <f t="shared" si="43"/>
        <v>0</v>
      </c>
      <c r="L142" s="132">
        <f>(C142/10) * (C119/2) * (E142/1000)</f>
        <v>0</v>
      </c>
      <c r="M142" s="6"/>
      <c r="N142" s="6">
        <f xml:space="preserve"> IF(C113 = 0, 0, C142 / E113)</f>
        <v>0</v>
      </c>
      <c r="O142" s="325">
        <f xml:space="preserve"> (N142 / E113) * F142 * H142</f>
        <v>0</v>
      </c>
      <c r="P142" s="325"/>
      <c r="Q142" s="132">
        <f xml:space="preserve"> (N142 / E113) * G142 * I142</f>
        <v>0</v>
      </c>
      <c r="R142" s="156"/>
    </row>
    <row r="143" spans="1:18">
      <c r="A143" s="156"/>
      <c r="B143" s="56" t="s">
        <v>229</v>
      </c>
      <c r="C143" s="56">
        <v>0</v>
      </c>
      <c r="D143" s="6">
        <f xml:space="preserve"> IF(C113 = 0, C143, C143 / G113)</f>
        <v>0</v>
      </c>
      <c r="E143" s="132">
        <f t="shared" si="37"/>
        <v>0</v>
      </c>
      <c r="F143" s="132">
        <f t="shared" si="38"/>
        <v>0</v>
      </c>
      <c r="G143" s="132">
        <f t="shared" si="39"/>
        <v>0</v>
      </c>
      <c r="H143" s="6">
        <f t="shared" si="40"/>
        <v>1</v>
      </c>
      <c r="I143" s="6">
        <f t="shared" si="41"/>
        <v>1</v>
      </c>
      <c r="J143" s="143">
        <f t="shared" si="42"/>
        <v>0</v>
      </c>
      <c r="K143" s="143">
        <f t="shared" si="43"/>
        <v>0</v>
      </c>
      <c r="L143" s="132">
        <f>(C143/10) * (C119/2) * (E143/1000)</f>
        <v>0</v>
      </c>
      <c r="M143" s="6"/>
      <c r="N143" s="6">
        <f xml:space="preserve"> IF(C113 = 0, 0, C143 / E113)</f>
        <v>0</v>
      </c>
      <c r="O143" s="325">
        <f xml:space="preserve"> (N143 / E113) * F143 * H143</f>
        <v>0</v>
      </c>
      <c r="P143" s="325"/>
      <c r="Q143" s="132">
        <f xml:space="preserve"> (N143 / E113) * G143 * I143</f>
        <v>0</v>
      </c>
      <c r="R143" s="156"/>
    </row>
    <row r="144" spans="1:18">
      <c r="A144" s="156"/>
      <c r="B144" s="56" t="s">
        <v>229</v>
      </c>
      <c r="C144" s="56">
        <v>0</v>
      </c>
      <c r="D144" s="6">
        <f xml:space="preserve"> IF(C113 = 0, C144, C144 / G113)</f>
        <v>0</v>
      </c>
      <c r="E144" s="132">
        <f t="shared" si="37"/>
        <v>0</v>
      </c>
      <c r="F144" s="132">
        <f t="shared" si="38"/>
        <v>0</v>
      </c>
      <c r="G144" s="132">
        <f t="shared" si="39"/>
        <v>0</v>
      </c>
      <c r="H144" s="6">
        <f t="shared" si="40"/>
        <v>1</v>
      </c>
      <c r="I144" s="6">
        <f t="shared" si="41"/>
        <v>1</v>
      </c>
      <c r="J144" s="143">
        <f t="shared" si="42"/>
        <v>0</v>
      </c>
      <c r="K144" s="143">
        <f t="shared" si="43"/>
        <v>0</v>
      </c>
      <c r="L144" s="132">
        <f>(C144/10) * (C119/2) * (E144/1000)</f>
        <v>0</v>
      </c>
      <c r="M144" s="6"/>
      <c r="N144" s="6">
        <f xml:space="preserve"> IF(C113 = 0, 0, C144 / E113)</f>
        <v>0</v>
      </c>
      <c r="O144" s="325">
        <f xml:space="preserve"> (N144 / E113) * F144 * H144</f>
        <v>0</v>
      </c>
      <c r="P144" s="325"/>
      <c r="Q144" s="132">
        <f xml:space="preserve"> (N144 / E113) * G144 * I144</f>
        <v>0</v>
      </c>
      <c r="R144" s="156"/>
    </row>
    <row r="145" spans="1:18">
      <c r="A145" s="156"/>
      <c r="B145" s="56" t="s">
        <v>229</v>
      </c>
      <c r="C145" s="56">
        <v>0</v>
      </c>
      <c r="D145" s="6">
        <f xml:space="preserve"> IF(C113 = 0, C145, C145 / G113)</f>
        <v>0</v>
      </c>
      <c r="E145" s="132">
        <f t="shared" si="37"/>
        <v>0</v>
      </c>
      <c r="F145" s="132">
        <f t="shared" si="38"/>
        <v>0</v>
      </c>
      <c r="G145" s="132">
        <f t="shared" si="39"/>
        <v>0</v>
      </c>
      <c r="H145" s="6">
        <f t="shared" si="40"/>
        <v>1</v>
      </c>
      <c r="I145" s="6">
        <f t="shared" si="41"/>
        <v>1</v>
      </c>
      <c r="J145" s="143">
        <f t="shared" si="42"/>
        <v>0</v>
      </c>
      <c r="K145" s="143">
        <f t="shared" si="43"/>
        <v>0</v>
      </c>
      <c r="L145" s="132">
        <f>(C145/10) * (C119/2) * (E145/1000)</f>
        <v>0</v>
      </c>
      <c r="M145" s="6"/>
      <c r="N145" s="6">
        <f xml:space="preserve"> IF(C113 = 0, 0, C145 / E113)</f>
        <v>0</v>
      </c>
      <c r="O145" s="325">
        <f xml:space="preserve"> (N145 / E113) * F145 * H145</f>
        <v>0</v>
      </c>
      <c r="P145" s="325"/>
      <c r="Q145" s="132">
        <f xml:space="preserve"> (N145 / E113) * G145 * I145</f>
        <v>0</v>
      </c>
      <c r="R145" s="156"/>
    </row>
    <row r="146" spans="1:18">
      <c r="A146" s="156"/>
      <c r="B146" s="56" t="s">
        <v>229</v>
      </c>
      <c r="C146" s="56">
        <v>0</v>
      </c>
      <c r="D146" s="6">
        <f xml:space="preserve"> IF(C113 = 0, C146, C146 / G113)</f>
        <v>0</v>
      </c>
      <c r="E146" s="132">
        <f t="shared" si="37"/>
        <v>0</v>
      </c>
      <c r="F146" s="132">
        <f t="shared" si="38"/>
        <v>0</v>
      </c>
      <c r="G146" s="132">
        <f t="shared" si="39"/>
        <v>0</v>
      </c>
      <c r="H146" s="6">
        <f t="shared" si="40"/>
        <v>1</v>
      </c>
      <c r="I146" s="6">
        <f t="shared" si="41"/>
        <v>1</v>
      </c>
      <c r="J146" s="143">
        <f t="shared" si="42"/>
        <v>0</v>
      </c>
      <c r="K146" s="143">
        <f t="shared" si="43"/>
        <v>0</v>
      </c>
      <c r="L146" s="132">
        <f>(C146/10) * (C119/2) * (E146/1000)</f>
        <v>0</v>
      </c>
      <c r="M146" s="6"/>
      <c r="N146" s="6">
        <f xml:space="preserve"> IF(C113 = 0, 0, C146 / E113)</f>
        <v>0</v>
      </c>
      <c r="O146" s="325">
        <f xml:space="preserve"> (N146 / E113) * F146 * H146</f>
        <v>0</v>
      </c>
      <c r="P146" s="325"/>
      <c r="Q146" s="132">
        <f xml:space="preserve"> (N146 / E113) * G146 * I146</f>
        <v>0</v>
      </c>
      <c r="R146" s="156"/>
    </row>
    <row r="147" spans="1:18">
      <c r="A147" s="156"/>
      <c r="B147" s="152" t="s">
        <v>229</v>
      </c>
      <c r="C147" s="152">
        <v>0</v>
      </c>
      <c r="D147" s="6">
        <f xml:space="preserve"> IF(C113 = 0, C147, C147 / G113)</f>
        <v>0</v>
      </c>
      <c r="E147" s="132">
        <f t="shared" si="37"/>
        <v>0</v>
      </c>
      <c r="F147" s="132">
        <f t="shared" si="38"/>
        <v>0</v>
      </c>
      <c r="G147" s="132">
        <f t="shared" si="39"/>
        <v>0</v>
      </c>
      <c r="H147" s="6">
        <f t="shared" si="40"/>
        <v>1</v>
      </c>
      <c r="I147" s="6">
        <f t="shared" si="41"/>
        <v>1</v>
      </c>
      <c r="J147" s="143">
        <f t="shared" si="42"/>
        <v>0</v>
      </c>
      <c r="K147" s="143">
        <f t="shared" si="43"/>
        <v>0</v>
      </c>
      <c r="L147" s="132">
        <f>(C147/10) * (C119/2) * (E147/1000)</f>
        <v>0</v>
      </c>
      <c r="M147" s="6"/>
      <c r="N147" s="6">
        <f xml:space="preserve"> IF(C219 = 0, 0, C147 / E113)</f>
        <v>0</v>
      </c>
      <c r="O147" s="325">
        <f xml:space="preserve"> (N147 / E113) * F147 * H147</f>
        <v>0</v>
      </c>
      <c r="P147" s="325"/>
      <c r="Q147" s="132">
        <f xml:space="preserve"> (N147 / E113) * G147 * I147</f>
        <v>0</v>
      </c>
      <c r="R147" s="156"/>
    </row>
    <row r="148" spans="1:18">
      <c r="A148" s="156"/>
      <c r="B148" s="133" t="s">
        <v>230</v>
      </c>
      <c r="C148" s="141">
        <f>SUM(C139:C147)</f>
        <v>25</v>
      </c>
      <c r="D148"/>
      <c r="E148" s="134"/>
      <c r="F148" s="134"/>
      <c r="G148" s="134"/>
      <c r="H148"/>
      <c r="I148"/>
      <c r="J148" s="143">
        <f>SUM(J139:J147)</f>
        <v>22.75</v>
      </c>
      <c r="K148" s="143">
        <f xml:space="preserve"> SUM(K139:K147)</f>
        <v>22.75</v>
      </c>
      <c r="L148" s="132">
        <f>SUM(L139:L147)</f>
        <v>20.380490614061028</v>
      </c>
      <c r="M148" t="s">
        <v>276</v>
      </c>
      <c r="O148" s="325">
        <f>SUM(O139:O147)</f>
        <v>0</v>
      </c>
      <c r="P148" s="325"/>
      <c r="Q148" s="132">
        <f>SUM(Q139:Q147)</f>
        <v>0</v>
      </c>
      <c r="R148" s="156"/>
    </row>
    <row r="149" spans="1:18">
      <c r="A149" s="156"/>
      <c r="B149" s="133"/>
      <c r="C149" s="139"/>
      <c r="D149" s="134"/>
      <c r="E149" s="134"/>
      <c r="F149"/>
      <c r="G149"/>
      <c r="H149"/>
      <c r="I149" s="134" t="s">
        <v>231</v>
      </c>
      <c r="J149" s="56">
        <v>1.1299999999999999</v>
      </c>
      <c r="K149" s="140"/>
      <c r="L149" s="131"/>
      <c r="M149" s="136"/>
      <c r="O149" s="325">
        <f xml:space="preserve"> O148 * J149</f>
        <v>0</v>
      </c>
      <c r="P149" s="325"/>
    </row>
    <row r="150" spans="1:18">
      <c r="A150" s="156"/>
      <c r="B150" s="133"/>
      <c r="C150" s="139"/>
      <c r="D150" s="134"/>
      <c r="E150" s="134"/>
      <c r="F150"/>
      <c r="G150"/>
      <c r="H150"/>
      <c r="I150" s="134"/>
      <c r="J150" s="132">
        <f>J148*J149</f>
        <v>25.707499999999996</v>
      </c>
      <c r="K150" s="131"/>
      <c r="L150" s="132">
        <f>L148/1000</f>
        <v>2.0380490614061029E-2</v>
      </c>
      <c r="M150" s="136" t="s">
        <v>840</v>
      </c>
      <c r="N150" s="162"/>
      <c r="O150" s="156"/>
      <c r="P150" s="156"/>
      <c r="Q150" s="156"/>
      <c r="R150" s="156"/>
    </row>
    <row r="151" spans="1:18" ht="15.75" thickBot="1">
      <c r="A151" s="156"/>
      <c r="B151" s="161"/>
      <c r="C151" s="161"/>
      <c r="D151" s="161"/>
      <c r="E151" s="161"/>
      <c r="F151" s="161"/>
      <c r="G151" s="161"/>
      <c r="H151" s="161"/>
      <c r="I151" s="161"/>
      <c r="J151" s="156"/>
      <c r="K151" s="132"/>
      <c r="L151" s="156"/>
      <c r="M151" s="156"/>
      <c r="N151" s="156"/>
      <c r="O151" s="156"/>
      <c r="P151" s="156"/>
    </row>
    <row r="152" spans="1:18" ht="15.75" thickTop="1">
      <c r="A152" s="156"/>
      <c r="B152" s="157"/>
      <c r="C152" s="154"/>
      <c r="D152" s="154"/>
      <c r="E152" s="154"/>
      <c r="F152" s="154"/>
      <c r="G152" s="132"/>
      <c r="H152" s="132"/>
      <c r="I152" s="132"/>
      <c r="J152" s="156"/>
      <c r="K152" s="132"/>
      <c r="L152" s="156"/>
      <c r="M152" s="156"/>
      <c r="N152" s="156"/>
      <c r="O152" s="156"/>
      <c r="P152" s="156"/>
    </row>
    <row r="153" spans="1:18">
      <c r="A153" s="156"/>
      <c r="B153" s="156" t="s">
        <v>597</v>
      </c>
      <c r="C153" s="165">
        <f xml:space="preserve"> L31 + L54 + L83 + L108 + L136 + L150</f>
        <v>1.895392676264569</v>
      </c>
      <c r="D153" s="156" t="s">
        <v>840</v>
      </c>
      <c r="E153" s="156"/>
      <c r="F153" s="156"/>
      <c r="G153" s="132"/>
      <c r="H153" s="132"/>
      <c r="I153" s="132"/>
      <c r="J153" s="156"/>
      <c r="K153" s="132"/>
      <c r="L153" s="156"/>
      <c r="M153" s="156"/>
      <c r="N153" s="156"/>
      <c r="O153" s="156"/>
      <c r="P153" s="156"/>
    </row>
    <row r="154" spans="1:18">
      <c r="A154" s="156"/>
      <c r="B154" s="156" t="s">
        <v>734</v>
      </c>
      <c r="C154" s="165">
        <f xml:space="preserve"> C153 * LOOKUP(C4, TurretType, TurretWeight)</f>
        <v>0.3790785352529138</v>
      </c>
      <c r="D154" s="156" t="s">
        <v>840</v>
      </c>
      <c r="E154" s="156"/>
      <c r="F154" s="156"/>
      <c r="G154" s="192"/>
      <c r="H154" s="192"/>
      <c r="I154" s="192"/>
      <c r="J154" s="156"/>
      <c r="K154" s="192"/>
      <c r="L154" s="156"/>
      <c r="M154" s="156"/>
      <c r="N154" s="156"/>
      <c r="O154" s="156"/>
      <c r="P154" s="156"/>
    </row>
    <row r="155" spans="1:18">
      <c r="A155" s="156"/>
      <c r="B155" s="156" t="s">
        <v>598</v>
      </c>
      <c r="C155" s="164">
        <f xml:space="preserve"> 'Big Gun'!C44 + 'Big Gun'!C118</f>
        <v>4.1901360593483368</v>
      </c>
      <c r="D155" s="156" t="s">
        <v>840</v>
      </c>
      <c r="E155" s="156"/>
      <c r="F155" s="156"/>
      <c r="G155" s="132"/>
      <c r="H155" s="132"/>
      <c r="I155" s="132"/>
      <c r="J155" s="156"/>
      <c r="K155" s="132"/>
      <c r="L155" s="156"/>
      <c r="M155" s="156"/>
      <c r="N155" s="156"/>
      <c r="O155" s="156"/>
      <c r="P155" s="156"/>
    </row>
    <row r="156" spans="1:18">
      <c r="A156" s="156"/>
      <c r="B156" s="156" t="s">
        <v>599</v>
      </c>
      <c r="C156" s="164">
        <f xml:space="preserve"> 'Big Gun'!C70 + 'Big Gun'!C144</f>
        <v>1.2184815331267242</v>
      </c>
      <c r="D156" s="156" t="s">
        <v>840</v>
      </c>
      <c r="E156" s="156"/>
      <c r="F156" s="156"/>
      <c r="G156" s="132"/>
      <c r="H156" s="132"/>
      <c r="I156" s="132"/>
      <c r="J156" s="156"/>
      <c r="K156" s="132"/>
      <c r="L156" s="156"/>
      <c r="M156" s="156"/>
      <c r="N156" s="156"/>
      <c r="O156" s="156"/>
      <c r="P156" s="156"/>
    </row>
    <row r="157" spans="1:18">
      <c r="A157" s="156"/>
      <c r="B157" s="156" t="s">
        <v>600</v>
      </c>
      <c r="C157" s="164">
        <f xml:space="preserve"> SUM(C153:C156)</f>
        <v>7.6830888039925433</v>
      </c>
      <c r="D157" s="156" t="s">
        <v>840</v>
      </c>
      <c r="E157" s="156"/>
      <c r="F157" s="156"/>
      <c r="G157" s="132"/>
      <c r="H157" s="132"/>
      <c r="I157" s="132"/>
      <c r="J157" s="156"/>
      <c r="K157" s="132"/>
      <c r="L157" s="156"/>
      <c r="M157" s="156"/>
      <c r="N157" s="156"/>
      <c r="O157" s="156"/>
      <c r="P157" s="156"/>
    </row>
    <row r="158" spans="1:18">
      <c r="B158" s="156"/>
      <c r="C158" s="165"/>
      <c r="D158" s="156"/>
      <c r="E158" s="156"/>
      <c r="F158" s="156"/>
      <c r="G158" s="132"/>
      <c r="H158" s="132"/>
      <c r="I158" s="132"/>
      <c r="J158" s="156"/>
      <c r="K158" s="132"/>
    </row>
    <row r="159" spans="1:18">
      <c r="B159" s="154" t="s">
        <v>601</v>
      </c>
      <c r="C159" s="155">
        <v>3</v>
      </c>
      <c r="D159" s="154" t="s">
        <v>273</v>
      </c>
      <c r="E159" s="156"/>
      <c r="F159" s="156"/>
      <c r="G159" s="156"/>
      <c r="H159" s="156"/>
      <c r="I159" s="156"/>
      <c r="J159" s="156"/>
      <c r="K159" s="156"/>
    </row>
    <row r="160" spans="1:18">
      <c r="B160" s="157" t="s">
        <v>275</v>
      </c>
      <c r="C160" s="164">
        <f xml:space="preserve"> C159 * 180</f>
        <v>540</v>
      </c>
      <c r="D160" s="156" t="s">
        <v>276</v>
      </c>
      <c r="E160" s="156"/>
      <c r="F160" s="156"/>
      <c r="G160" s="156"/>
      <c r="H160" s="156"/>
      <c r="I160" s="156"/>
      <c r="J160" s="156"/>
      <c r="K160" s="156"/>
    </row>
    <row r="161" spans="2:11">
      <c r="B161" s="157" t="s">
        <v>602</v>
      </c>
      <c r="C161" s="164">
        <f xml:space="preserve"> C159 * 0.7570823568</f>
        <v>2.2712470704000003</v>
      </c>
      <c r="D161" s="156" t="s">
        <v>255</v>
      </c>
      <c r="E161" s="156"/>
      <c r="F161" s="156"/>
      <c r="G161" s="156"/>
      <c r="H161" s="156"/>
      <c r="I161" s="156"/>
      <c r="J161" s="156"/>
      <c r="K161" s="156"/>
    </row>
    <row r="162" spans="2:11">
      <c r="B162" s="156"/>
      <c r="C162" s="164"/>
      <c r="D162" s="156"/>
      <c r="E162" s="156"/>
      <c r="F162" s="156"/>
      <c r="G162" s="156"/>
      <c r="H162" s="156"/>
      <c r="I162" s="156"/>
      <c r="J162" s="156"/>
      <c r="K162" s="156"/>
    </row>
    <row r="163" spans="2:11">
      <c r="B163" s="157" t="s">
        <v>603</v>
      </c>
      <c r="C163" s="164">
        <f xml:space="preserve"> (C5+C6)*0.25 * C7 * (C8+C9) - ((O59 - R64) * (C8 - (C1 / 100)))</f>
        <v>1.2989646764923231</v>
      </c>
      <c r="D163" s="156" t="s">
        <v>255</v>
      </c>
      <c r="E163" s="158"/>
      <c r="F163" s="156"/>
      <c r="G163" s="156"/>
      <c r="H163" s="156"/>
      <c r="I163" s="156"/>
      <c r="J163" s="156"/>
      <c r="K163" s="156"/>
    </row>
    <row r="164" spans="2:11">
      <c r="B164" s="157" t="s">
        <v>604</v>
      </c>
      <c r="C164" s="164">
        <f xml:space="preserve"> C40 + C69 + C94 + C121</f>
        <v>0.24722578740898948</v>
      </c>
      <c r="D164" s="156" t="s">
        <v>255</v>
      </c>
      <c r="E164" s="156"/>
      <c r="F164" s="156"/>
      <c r="G164" s="156"/>
      <c r="H164" s="156"/>
      <c r="I164" s="156"/>
      <c r="J164" s="156"/>
      <c r="K164" s="156"/>
    </row>
    <row r="165" spans="2:11">
      <c r="B165" s="157" t="s">
        <v>605</v>
      </c>
      <c r="C165" s="164">
        <f xml:space="preserve"> (C2 / 100^2) * C3 * LOOKUP(C4, TurretType, TurretBasketModifier)</f>
        <v>4.3295073757284337</v>
      </c>
      <c r="D165" s="156" t="s">
        <v>255</v>
      </c>
      <c r="E165" s="156"/>
      <c r="F165" s="156"/>
      <c r="G165" s="156"/>
      <c r="H165" s="156"/>
      <c r="I165" s="156"/>
      <c r="J165" s="156"/>
      <c r="K165" s="156"/>
    </row>
    <row r="166" spans="2:11">
      <c r="B166" s="157" t="s">
        <v>606</v>
      </c>
      <c r="C166" s="164">
        <f xml:space="preserve"> ((C163 - C164) + C165) * LOOKUP(C4, TurretType, TurretSpace)</f>
        <v>4.3049970118494141</v>
      </c>
      <c r="D166" s="156" t="s">
        <v>255</v>
      </c>
      <c r="E166" s="156"/>
      <c r="F166" s="156"/>
      <c r="G166" s="156"/>
      <c r="H166" s="156"/>
      <c r="I166" s="156"/>
      <c r="J166" s="156"/>
      <c r="K166" s="156"/>
    </row>
    <row r="167" spans="2:11">
      <c r="B167" s="157" t="s">
        <v>607</v>
      </c>
      <c r="C167" s="164">
        <f xml:space="preserve"> C161</f>
        <v>2.2712470704000003</v>
      </c>
      <c r="D167" s="156" t="s">
        <v>255</v>
      </c>
      <c r="E167" s="156"/>
      <c r="F167" s="156"/>
      <c r="G167" s="156"/>
      <c r="H167" s="156"/>
      <c r="I167" s="156"/>
      <c r="J167" s="156"/>
      <c r="K167" s="156"/>
    </row>
    <row r="168" spans="2:11">
      <c r="B168" s="157" t="s">
        <v>608</v>
      </c>
      <c r="C168" s="164">
        <f xml:space="preserve"> 'Small Guns'!C17 + 'Big Gun'!C69 + 'Big Gun'!C143</f>
        <v>1.1730877905074317</v>
      </c>
      <c r="D168" s="156" t="s">
        <v>255</v>
      </c>
      <c r="E168" s="156"/>
      <c r="F168" s="156"/>
      <c r="G168" s="156"/>
      <c r="H168" s="156"/>
      <c r="I168" s="156"/>
      <c r="J168" s="156"/>
      <c r="K168" s="156"/>
    </row>
    <row r="169" spans="2:11">
      <c r="B169" s="156" t="s">
        <v>609</v>
      </c>
      <c r="C169" s="164">
        <f xml:space="preserve"> 'Small Guns'!C8 + 'Big Gun'!C45 + 'Big Gun'!C119</f>
        <v>0.41597492353828958</v>
      </c>
      <c r="D169" s="156" t="s">
        <v>255</v>
      </c>
      <c r="E169" s="156"/>
      <c r="F169" s="156"/>
      <c r="G169" s="156"/>
      <c r="H169" s="156"/>
      <c r="I169" s="156"/>
      <c r="J169" s="156"/>
      <c r="K169" s="156"/>
    </row>
    <row r="170" spans="2:11">
      <c r="B170" s="156" t="s">
        <v>777</v>
      </c>
      <c r="C170" s="164">
        <f xml:space="preserve"> (Misc!B15 / 2) + Misc!B23</f>
        <v>0.12723276652218879</v>
      </c>
      <c r="D170" s="156" t="s">
        <v>255</v>
      </c>
      <c r="E170" s="156"/>
      <c r="F170" s="156"/>
      <c r="G170" s="156"/>
      <c r="H170" s="156"/>
      <c r="I170" s="156"/>
      <c r="J170" s="156"/>
      <c r="K170" s="156"/>
    </row>
    <row r="171" spans="2:11">
      <c r="B171" s="156" t="s">
        <v>610</v>
      </c>
      <c r="C171" s="164">
        <f xml:space="preserve"> C166 - SUM(C167:C170)</f>
        <v>0.31745446088150375</v>
      </c>
      <c r="D171" s="156" t="s">
        <v>255</v>
      </c>
      <c r="E171" s="156"/>
      <c r="F171" s="156"/>
      <c r="G171" s="156"/>
      <c r="H171" s="156"/>
      <c r="I171" s="156"/>
      <c r="J171" s="156"/>
      <c r="K171" s="156"/>
    </row>
    <row r="173" spans="2:11">
      <c r="B173" s="156"/>
      <c r="C173" s="160"/>
      <c r="D173" s="156"/>
      <c r="E173" s="156"/>
      <c r="F173" s="156"/>
      <c r="G173" s="156"/>
      <c r="H173" s="156"/>
      <c r="I173" s="156"/>
      <c r="J173" s="156"/>
      <c r="K173" s="156"/>
    </row>
    <row r="174" spans="2:11">
      <c r="B174" s="156"/>
      <c r="C174" s="160"/>
      <c r="D174" s="156"/>
      <c r="E174" s="156"/>
      <c r="F174" s="156"/>
      <c r="G174" s="156"/>
      <c r="H174" s="156"/>
      <c r="I174" s="156"/>
      <c r="J174" s="156"/>
      <c r="K174" s="156"/>
    </row>
    <row r="175" spans="2:11">
      <c r="C175" s="160"/>
    </row>
  </sheetData>
  <mergeCells count="45">
    <mergeCell ref="O149:P149"/>
    <mergeCell ref="O135:P135"/>
    <mergeCell ref="O139:P139"/>
    <mergeCell ref="O140:P140"/>
    <mergeCell ref="O141:P141"/>
    <mergeCell ref="O142:P142"/>
    <mergeCell ref="O143:P143"/>
    <mergeCell ref="O138:P138"/>
    <mergeCell ref="O144:P144"/>
    <mergeCell ref="O145:P145"/>
    <mergeCell ref="O146:P146"/>
    <mergeCell ref="O147:P147"/>
    <mergeCell ref="O148:P148"/>
    <mergeCell ref="O134:P134"/>
    <mergeCell ref="O124:P124"/>
    <mergeCell ref="O125:P125"/>
    <mergeCell ref="O126:P126"/>
    <mergeCell ref="O127:P127"/>
    <mergeCell ref="O128:P128"/>
    <mergeCell ref="O129:P129"/>
    <mergeCell ref="O130:P130"/>
    <mergeCell ref="O131:P131"/>
    <mergeCell ref="O132:P132"/>
    <mergeCell ref="O133:P133"/>
    <mergeCell ref="O103:P103"/>
    <mergeCell ref="O104:P104"/>
    <mergeCell ref="O105:P105"/>
    <mergeCell ref="O106:P106"/>
    <mergeCell ref="O97:P97"/>
    <mergeCell ref="O98:P98"/>
    <mergeCell ref="O99:P99"/>
    <mergeCell ref="O100:P100"/>
    <mergeCell ref="O101:P101"/>
    <mergeCell ref="O102:P102"/>
    <mergeCell ref="O77:P77"/>
    <mergeCell ref="O78:P78"/>
    <mergeCell ref="O79:P79"/>
    <mergeCell ref="O80:P80"/>
    <mergeCell ref="O81:P81"/>
    <mergeCell ref="O76:P76"/>
    <mergeCell ref="O71:P71"/>
    <mergeCell ref="O72:P72"/>
    <mergeCell ref="O73:P73"/>
    <mergeCell ref="O74:P74"/>
    <mergeCell ref="O75:P75"/>
  </mergeCells>
  <dataValidations count="3">
    <dataValidation type="list" allowBlank="1" showInputMessage="1" showErrorMessage="1" sqref="B43:B51 B72:B80 B97:B105 B125:B133 B139:B147 B30">
      <formula1>ArmorNames</formula1>
    </dataValidation>
    <dataValidation type="list" allowBlank="1" showInputMessage="1" showErrorMessage="1" sqref="C4">
      <formula1 xml:space="preserve"> TurretType</formula1>
    </dataValidation>
    <dataValidation type="list" allowBlank="1" showInputMessage="1" showErrorMessage="1" sqref="C21">
      <formula1>"Curved, Flat, Circular"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I30" sqref="I30"/>
    </sheetView>
  </sheetViews>
  <sheetFormatPr defaultRowHeight="15"/>
  <cols>
    <col min="1" max="1" width="34.28515625" customWidth="1"/>
    <col min="2" max="5" width="11.42578125" customWidth="1"/>
  </cols>
  <sheetData>
    <row r="1" spans="1:5" ht="15.75">
      <c r="A1" s="184" t="s">
        <v>643</v>
      </c>
      <c r="B1" s="181"/>
      <c r="C1" s="181"/>
      <c r="D1" s="181"/>
      <c r="E1" s="181"/>
    </row>
    <row r="2" spans="1:5" ht="15.75">
      <c r="A2" s="184"/>
      <c r="B2" s="185" t="s">
        <v>22</v>
      </c>
      <c r="C2" s="185" t="s">
        <v>21</v>
      </c>
      <c r="D2" s="181"/>
      <c r="E2" s="181"/>
    </row>
    <row r="3" spans="1:5">
      <c r="A3" s="181" t="s">
        <v>644</v>
      </c>
      <c r="B3" s="180">
        <v>0</v>
      </c>
      <c r="C3" s="180">
        <v>0</v>
      </c>
      <c r="D3" s="181"/>
      <c r="E3" s="181"/>
    </row>
    <row r="4" spans="1:5">
      <c r="A4" s="181" t="s">
        <v>645</v>
      </c>
      <c r="B4" s="180">
        <v>1</v>
      </c>
      <c r="C4" s="180">
        <v>1</v>
      </c>
      <c r="D4" s="181"/>
      <c r="E4" s="181"/>
    </row>
    <row r="5" spans="1:5">
      <c r="A5" s="181" t="s">
        <v>646</v>
      </c>
      <c r="B5" s="180">
        <v>0</v>
      </c>
      <c r="C5" s="180">
        <v>1</v>
      </c>
      <c r="D5" s="181"/>
      <c r="E5" s="181"/>
    </row>
    <row r="6" spans="1:5">
      <c r="A6" s="181" t="s">
        <v>647</v>
      </c>
      <c r="B6" s="187">
        <f xml:space="preserve"> B3 + B4</f>
        <v>1</v>
      </c>
      <c r="C6" s="186">
        <f xml:space="preserve"> C3 + C4</f>
        <v>1</v>
      </c>
      <c r="D6" s="181"/>
      <c r="E6" s="181"/>
    </row>
    <row r="7" spans="1:5">
      <c r="A7" s="181" t="s">
        <v>865</v>
      </c>
      <c r="B7" s="187">
        <f xml:space="preserve"> ((Lookup!B288 * B3) + (Lookup!B289 * B4) + (Lookup!B290 * B5)) / 1000</f>
        <v>1.2500000000000001E-2</v>
      </c>
      <c r="C7" s="186">
        <f xml:space="preserve"> ((Lookup!B288 * C3) + (Lookup!B289 * C4) + (Lookup!B290 * C5)) / 1000</f>
        <v>4.6899999999999997E-2</v>
      </c>
      <c r="D7" s="181"/>
      <c r="E7" s="181"/>
    </row>
    <row r="8" spans="1:5">
      <c r="A8" s="181" t="s">
        <v>648</v>
      </c>
      <c r="B8" s="187">
        <f xml:space="preserve"> (Lookup!C288 * B3) + (Lookup!C289 * B4) + (Lookup!C290 * B5)</f>
        <v>0.01</v>
      </c>
      <c r="C8" s="186">
        <f xml:space="preserve"> (Lookup!C288 * C3) + (Lookup!C289 * C4) + (Lookup!C290 * C5)</f>
        <v>4.3048000000000003E-2</v>
      </c>
      <c r="D8" s="181"/>
      <c r="E8" s="181"/>
    </row>
    <row r="9" spans="1:5">
      <c r="A9" s="181"/>
      <c r="B9" s="190"/>
      <c r="C9" s="181"/>
      <c r="D9" s="181"/>
      <c r="E9" s="181"/>
    </row>
    <row r="10" spans="1:5" ht="15.75">
      <c r="A10" s="184" t="s">
        <v>649</v>
      </c>
      <c r="B10" s="189"/>
      <c r="C10" s="181"/>
      <c r="D10" s="181"/>
      <c r="E10" s="181"/>
    </row>
    <row r="11" spans="1:5" ht="15.75">
      <c r="A11" s="184"/>
      <c r="B11" s="190" t="s">
        <v>22</v>
      </c>
      <c r="C11" s="185" t="s">
        <v>21</v>
      </c>
      <c r="D11" s="181"/>
      <c r="E11" s="181"/>
    </row>
    <row r="12" spans="1:5">
      <c r="A12" s="183" t="s">
        <v>650</v>
      </c>
      <c r="B12" s="180">
        <v>0</v>
      </c>
      <c r="C12" s="180">
        <v>0</v>
      </c>
      <c r="D12" s="182" t="s">
        <v>651</v>
      </c>
      <c r="E12" s="181"/>
    </row>
    <row r="13" spans="1:5">
      <c r="A13" s="183" t="s">
        <v>652</v>
      </c>
      <c r="B13" s="180">
        <v>0</v>
      </c>
      <c r="C13" s="180">
        <v>0</v>
      </c>
      <c r="D13" s="182" t="s">
        <v>653</v>
      </c>
      <c r="E13" s="186" t="s">
        <v>524</v>
      </c>
    </row>
    <row r="14" spans="1:5">
      <c r="A14" s="183" t="s">
        <v>654</v>
      </c>
      <c r="B14" s="180">
        <v>3125</v>
      </c>
      <c r="C14" s="180">
        <v>3125</v>
      </c>
      <c r="D14" s="182" t="s">
        <v>653</v>
      </c>
      <c r="E14" s="186" t="s">
        <v>526</v>
      </c>
    </row>
    <row r="15" spans="1:5">
      <c r="A15" s="183" t="s">
        <v>655</v>
      </c>
      <c r="B15" s="180">
        <v>0</v>
      </c>
      <c r="C15" s="180">
        <v>600</v>
      </c>
      <c r="D15" s="182" t="s">
        <v>653</v>
      </c>
      <c r="E15" s="186" t="s">
        <v>528</v>
      </c>
    </row>
    <row r="16" spans="1:5">
      <c r="A16" s="181" t="s">
        <v>656</v>
      </c>
      <c r="B16" s="187">
        <f xml:space="preserve"> (B12 * Lookup!B293) + ((B13 / 840) * Lookup!B297) + (B13 * Lookup!B294) + (B14 * Lookup!B295) + (B15 * Lookup!B296) + ((B15 / 100) * Lookup!B297)</f>
        <v>78.125</v>
      </c>
      <c r="C16" s="188">
        <f xml:space="preserve"> (C12 * Lookup!B293) + ((C13 / 840) * Lookup!B297) + (C13 * Lookup!B294) + (C14 * Lookup!B295) + (C15 * Lookup!B296) + ((C15 / 100) * Lookup!B297)</f>
        <v>196.38499999999999</v>
      </c>
      <c r="D16" s="181"/>
      <c r="E16" s="181"/>
    </row>
    <row r="17" spans="1:3">
      <c r="A17" s="181" t="s">
        <v>657</v>
      </c>
      <c r="B17" s="187">
        <f xml:space="preserve"> (B12 * Lookup!C293) + (((B13 / 840) * Lookup!C297) + ((B14 / 400) * Lookup!C297) + ((B15 / 100) * Lookup!C297))</f>
        <v>2.8906250000000001E-2</v>
      </c>
      <c r="C17" s="186">
        <f xml:space="preserve"> (C12 * Lookup!C293) + (((C13 / 840) * Lookup!C297) + ((C14 / 400) * Lookup!C297) + ((C15 / 100) * Lookup!C297))</f>
        <v>5.1106250000000006E-2</v>
      </c>
    </row>
    <row r="18" spans="1:3">
      <c r="A18" s="181" t="s">
        <v>658</v>
      </c>
      <c r="B18" s="187">
        <f xml:space="preserve"> B13 + B14</f>
        <v>3125</v>
      </c>
      <c r="C18" s="186">
        <f xml:space="preserve"> C13 + C14</f>
        <v>3125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44"/>
  <sheetViews>
    <sheetView topLeftCell="A7" workbookViewId="0">
      <selection activeCell="A23" sqref="A23:XFD23"/>
    </sheetView>
  </sheetViews>
  <sheetFormatPr defaultRowHeight="15"/>
  <cols>
    <col min="1" max="1" width="36.42578125" style="4" customWidth="1"/>
    <col min="2" max="2" width="50.7109375" style="4" customWidth="1"/>
    <col min="3" max="3" width="12.85546875" style="4" customWidth="1"/>
    <col min="4" max="4" width="9.140625" style="4" customWidth="1"/>
    <col min="5" max="5" width="20" style="4" customWidth="1"/>
    <col min="6" max="6" width="8.5703125" style="4" customWidth="1"/>
    <col min="7" max="7" width="9.140625" style="4"/>
    <col min="8" max="8" width="6.42578125" style="4" customWidth="1"/>
    <col min="9" max="10" width="12.85546875" style="4" customWidth="1"/>
    <col min="11" max="16384" width="9.140625" style="4"/>
  </cols>
  <sheetData>
    <row r="1" spans="1:10" ht="15.75">
      <c r="A1" s="159" t="s">
        <v>659</v>
      </c>
      <c r="B1" s="193" t="s">
        <v>22</v>
      </c>
      <c r="C1" s="193" t="s">
        <v>21</v>
      </c>
      <c r="D1" s="192"/>
      <c r="E1" s="156"/>
      <c r="F1" s="156"/>
      <c r="G1" s="156"/>
      <c r="H1" s="156"/>
      <c r="I1" s="156"/>
      <c r="J1" s="156"/>
    </row>
    <row r="2" spans="1:10">
      <c r="A2" s="154" t="s">
        <v>660</v>
      </c>
      <c r="B2" s="82">
        <v>0</v>
      </c>
      <c r="C2" s="56">
        <v>1</v>
      </c>
      <c r="D2" s="193" t="s">
        <v>661</v>
      </c>
      <c r="E2" s="156"/>
      <c r="F2" s="156"/>
      <c r="G2" s="156"/>
      <c r="H2" s="156"/>
      <c r="I2" s="156"/>
      <c r="J2" s="156"/>
    </row>
    <row r="3" spans="1:10">
      <c r="A3" s="154" t="s">
        <v>662</v>
      </c>
      <c r="B3" s="191">
        <v>76</v>
      </c>
      <c r="C3" s="154" t="s">
        <v>241</v>
      </c>
      <c r="D3" s="158">
        <f xml:space="preserve"> B3 * 'Hull Design'!G2 / 10</f>
        <v>2.9921259812000001</v>
      </c>
      <c r="E3" s="156" t="s">
        <v>303</v>
      </c>
      <c r="F3" s="156"/>
      <c r="G3" s="156"/>
      <c r="H3" s="156"/>
      <c r="I3" s="156"/>
      <c r="J3" s="156"/>
    </row>
    <row r="4" spans="1:10">
      <c r="A4" s="157" t="s">
        <v>663</v>
      </c>
      <c r="B4" s="164">
        <f>IF(B3&lt;50,((D3^3)/6.7)*0.9,((D3^3)/6.7)*0.45359237)</f>
        <v>1.8135543004305428</v>
      </c>
      <c r="C4" s="157" t="s">
        <v>276</v>
      </c>
      <c r="D4" s="158">
        <f xml:space="preserve"> B4 * 1000</f>
        <v>1813.5543004305428</v>
      </c>
      <c r="E4" s="156" t="s">
        <v>864</v>
      </c>
      <c r="F4" s="156"/>
      <c r="G4" s="156"/>
      <c r="H4" s="156"/>
      <c r="I4" s="156"/>
      <c r="J4" s="156"/>
    </row>
    <row r="5" spans="1:10">
      <c r="A5" s="157" t="s">
        <v>664</v>
      </c>
      <c r="B5" s="164">
        <f>((D3^3)/1.85)*0.42</f>
        <v>6.0815906931991242</v>
      </c>
      <c r="C5" s="157" t="s">
        <v>276</v>
      </c>
      <c r="D5" s="158">
        <f xml:space="preserve"> B5 * 1000</f>
        <v>6081.590693199124</v>
      </c>
      <c r="E5" s="156" t="s">
        <v>864</v>
      </c>
      <c r="F5" s="156"/>
      <c r="G5" s="156"/>
      <c r="H5" s="156"/>
      <c r="I5" s="156"/>
      <c r="J5" s="156"/>
    </row>
    <row r="6" spans="1:10">
      <c r="A6" s="154" t="s">
        <v>466</v>
      </c>
      <c r="B6" s="208" t="s">
        <v>1027</v>
      </c>
      <c r="C6" s="157" t="s">
        <v>900</v>
      </c>
      <c r="D6" s="158"/>
      <c r="E6" s="156"/>
      <c r="F6" s="156"/>
      <c r="G6" s="156"/>
      <c r="H6" s="156"/>
      <c r="I6" s="156"/>
      <c r="J6" s="156"/>
    </row>
    <row r="7" spans="1:10">
      <c r="A7" s="154" t="s">
        <v>665</v>
      </c>
      <c r="B7" s="191">
        <v>7</v>
      </c>
      <c r="C7" s="154" t="s">
        <v>276</v>
      </c>
      <c r="D7" s="158">
        <f xml:space="preserve"> B7 * 1000</f>
        <v>7000</v>
      </c>
      <c r="E7" s="156" t="s">
        <v>864</v>
      </c>
      <c r="F7" s="326"/>
      <c r="G7" s="326"/>
      <c r="H7" s="326"/>
      <c r="I7" s="156"/>
      <c r="J7" s="156"/>
    </row>
    <row r="8" spans="1:10">
      <c r="A8" s="154" t="s">
        <v>899</v>
      </c>
      <c r="B8" s="191" t="s">
        <v>1028</v>
      </c>
      <c r="C8" s="157" t="s">
        <v>900</v>
      </c>
      <c r="D8" s="158"/>
      <c r="E8" s="156"/>
      <c r="F8" s="282"/>
      <c r="G8" s="282"/>
      <c r="H8" s="282"/>
      <c r="I8" s="156"/>
      <c r="J8" s="156"/>
    </row>
    <row r="9" spans="1:10">
      <c r="A9" s="154" t="s">
        <v>894</v>
      </c>
      <c r="B9" s="191">
        <v>4.3</v>
      </c>
      <c r="C9" s="154" t="s">
        <v>276</v>
      </c>
      <c r="D9" s="158">
        <f xml:space="preserve"> B9 * 1000</f>
        <v>4300</v>
      </c>
      <c r="E9" s="156" t="s">
        <v>864</v>
      </c>
      <c r="H9" s="156"/>
      <c r="I9" s="156"/>
      <c r="J9" s="156"/>
    </row>
    <row r="10" spans="1:10">
      <c r="A10" s="154" t="s">
        <v>725</v>
      </c>
      <c r="B10" s="206">
        <v>52</v>
      </c>
      <c r="C10" s="154" t="s">
        <v>670</v>
      </c>
      <c r="D10" s="158">
        <f xml:space="preserve"> B3 * B10</f>
        <v>3952</v>
      </c>
      <c r="E10" s="156" t="s">
        <v>241</v>
      </c>
      <c r="F10" s="158">
        <f xml:space="preserve"> D10 / 10</f>
        <v>395.2</v>
      </c>
      <c r="G10" s="156" t="s">
        <v>212</v>
      </c>
    </row>
    <row r="11" spans="1:10">
      <c r="A11" s="157" t="s">
        <v>726</v>
      </c>
      <c r="B11" s="207">
        <f xml:space="preserve"> IF(B7 = 0, 0, SQRT(D11 * 2 * 10^6 / B7))</f>
        <v>837.05440914797157</v>
      </c>
      <c r="C11" s="157" t="s">
        <v>773</v>
      </c>
      <c r="D11" s="158">
        <f xml:space="preserve"> F11 * D3^3 / 11.51</f>
        <v>2.4523102935592096</v>
      </c>
      <c r="E11" s="156" t="s">
        <v>668</v>
      </c>
      <c r="F11" s="157">
        <f xml:space="preserve"> (B10 / 50)^(4 / 3)</f>
        <v>1.0536857799729844</v>
      </c>
      <c r="G11" s="156" t="s">
        <v>669</v>
      </c>
      <c r="H11" s="158">
        <f xml:space="preserve"> B11 /2</f>
        <v>418.52720457398578</v>
      </c>
      <c r="I11" s="156" t="s">
        <v>772</v>
      </c>
      <c r="J11" s="156">
        <f xml:space="preserve"> D11 * 10 ^ 6</f>
        <v>2452310.2935592094</v>
      </c>
    </row>
    <row r="12" spans="1:10">
      <c r="A12" s="157" t="s">
        <v>895</v>
      </c>
      <c r="B12" s="207">
        <f xml:space="preserve"> IF(B9 = 0, 0, SQRT(D11 * 2 * 10^6 / B9))</f>
        <v>1067.9931829673581</v>
      </c>
      <c r="C12" s="157" t="s">
        <v>773</v>
      </c>
      <c r="D12" s="158"/>
      <c r="E12" s="156"/>
      <c r="F12" s="157"/>
      <c r="G12" s="156"/>
      <c r="H12" s="158"/>
      <c r="I12" s="156"/>
      <c r="J12" s="156"/>
    </row>
    <row r="13" spans="1:10">
      <c r="A13" s="154" t="s">
        <v>735</v>
      </c>
      <c r="B13" s="208" t="s">
        <v>737</v>
      </c>
      <c r="C13" s="157"/>
      <c r="D13" s="158"/>
      <c r="E13" s="156"/>
      <c r="F13" s="157"/>
      <c r="G13" s="156"/>
      <c r="H13" s="158"/>
      <c r="I13" s="156"/>
      <c r="J13" s="156"/>
    </row>
    <row r="14" spans="1:10">
      <c r="A14" s="157" t="s">
        <v>738</v>
      </c>
      <c r="B14" s="207">
        <v>7.89</v>
      </c>
      <c r="C14" s="157" t="s">
        <v>514</v>
      </c>
      <c r="D14" s="156"/>
      <c r="E14" s="156"/>
      <c r="F14" s="156">
        <f xml:space="preserve"> B11 * 'Hull Design'!G3</f>
        <v>2746.2415040035903</v>
      </c>
      <c r="G14" s="156" t="s">
        <v>666</v>
      </c>
      <c r="H14" s="156"/>
      <c r="I14" s="156"/>
      <c r="J14" s="156"/>
    </row>
    <row r="15" spans="1:10">
      <c r="A15" s="154" t="s">
        <v>740</v>
      </c>
      <c r="B15" s="208" t="s">
        <v>737</v>
      </c>
      <c r="C15" s="157"/>
      <c r="D15" s="156"/>
      <c r="E15" s="156"/>
      <c r="F15" s="156"/>
      <c r="G15" s="156"/>
      <c r="H15" s="156"/>
      <c r="I15" s="156"/>
      <c r="J15" s="156"/>
    </row>
    <row r="16" spans="1:10">
      <c r="A16" s="154" t="s">
        <v>741</v>
      </c>
      <c r="B16" s="208" t="s">
        <v>743</v>
      </c>
      <c r="C16" s="157"/>
      <c r="D16" s="156"/>
      <c r="E16" s="156"/>
      <c r="F16" s="156"/>
      <c r="G16" s="156"/>
      <c r="H16" s="156"/>
      <c r="I16" s="156"/>
      <c r="J16" s="156"/>
    </row>
    <row r="17" spans="1:10">
      <c r="A17" s="154" t="s">
        <v>977</v>
      </c>
      <c r="B17" s="208" t="s">
        <v>978</v>
      </c>
      <c r="D17" s="154">
        <f xml:space="preserve"> LOOKUP(B17, AutoloaderName, AutoloaderCapacity)</f>
        <v>0</v>
      </c>
      <c r="E17" s="154" t="s">
        <v>983</v>
      </c>
      <c r="F17" s="156">
        <f xml:space="preserve"> LOOKUP(B17, AutoloaderName, AutoloaderFire)</f>
        <v>0</v>
      </c>
      <c r="G17" s="156" t="s">
        <v>673</v>
      </c>
      <c r="H17" s="156"/>
      <c r="I17" s="156"/>
      <c r="J17" s="156"/>
    </row>
    <row r="18" spans="1:10">
      <c r="A18" s="154" t="s">
        <v>671</v>
      </c>
      <c r="B18" s="191">
        <v>20</v>
      </c>
      <c r="C18" s="154" t="s">
        <v>672</v>
      </c>
      <c r="D18" s="203">
        <f xml:space="preserve"> IF(B18 &gt; 60, 1, 0)</f>
        <v>0</v>
      </c>
      <c r="E18" s="156" t="s">
        <v>724</v>
      </c>
      <c r="F18" s="158">
        <f xml:space="preserve"> B18 / 60</f>
        <v>0.33333333333333331</v>
      </c>
      <c r="G18" s="156" t="s">
        <v>673</v>
      </c>
      <c r="H18" s="160">
        <f xml:space="preserve"> (F18 * B7 * B11) * LOOKUP(B19, PropellantName, AutoAccel)</f>
        <v>39062.539093571999</v>
      </c>
      <c r="I18" s="156" t="s">
        <v>674</v>
      </c>
      <c r="J18" s="156"/>
    </row>
    <row r="19" spans="1:10">
      <c r="A19" s="154" t="s">
        <v>447</v>
      </c>
      <c r="B19" s="191" t="s">
        <v>454</v>
      </c>
      <c r="C19" s="154"/>
      <c r="D19" s="158">
        <f xml:space="preserve"> LOOKUP(B19, PropellantName, PropellantSpeed)</f>
        <v>3</v>
      </c>
      <c r="E19" s="156" t="s">
        <v>675</v>
      </c>
      <c r="F19" s="156"/>
      <c r="G19" s="156"/>
      <c r="H19" s="156"/>
      <c r="I19" s="156"/>
      <c r="J19" s="156"/>
    </row>
    <row r="20" spans="1:10">
      <c r="A20" s="154" t="s">
        <v>676</v>
      </c>
      <c r="B20" s="191">
        <v>304.8</v>
      </c>
      <c r="C20" s="154" t="s">
        <v>241</v>
      </c>
      <c r="D20" s="158">
        <f xml:space="preserve"> B20 / 1000</f>
        <v>0.30480000000000002</v>
      </c>
      <c r="E20" s="156" t="s">
        <v>297</v>
      </c>
      <c r="F20" s="156">
        <f xml:space="preserve"> B20 / 10 * 'Hull Design'!G2</f>
        <v>11.999999987760001</v>
      </c>
      <c r="G20" s="156" t="s">
        <v>303</v>
      </c>
      <c r="H20" s="156"/>
      <c r="I20" s="156"/>
      <c r="J20" s="156"/>
    </row>
    <row r="21" spans="1:10">
      <c r="A21" s="154" t="s">
        <v>677</v>
      </c>
      <c r="B21" s="209">
        <v>0.2</v>
      </c>
      <c r="C21" s="154" t="s">
        <v>191</v>
      </c>
      <c r="D21" s="158">
        <f xml:space="preserve"> IF(B21 &gt; 0, B25 * 0.15, 0)</f>
        <v>7.8785388560379221</v>
      </c>
      <c r="E21" s="156" t="s">
        <v>276</v>
      </c>
      <c r="F21" s="154"/>
      <c r="G21" s="204"/>
      <c r="H21" s="156"/>
      <c r="I21" s="156"/>
      <c r="J21" s="156"/>
    </row>
    <row r="22" spans="1:10">
      <c r="A22" s="154"/>
      <c r="B22" s="292"/>
      <c r="C22" s="154"/>
      <c r="D22" s="158"/>
      <c r="E22" s="156"/>
      <c r="F22" s="154"/>
      <c r="G22" s="204"/>
      <c r="H22" s="156"/>
      <c r="I22" s="156"/>
      <c r="J22" s="156"/>
    </row>
    <row r="23" spans="1:10">
      <c r="A23" s="154"/>
      <c r="B23" s="195" t="s">
        <v>678</v>
      </c>
      <c r="C23" s="194" t="s">
        <v>679</v>
      </c>
      <c r="D23" s="194" t="s">
        <v>680</v>
      </c>
      <c r="E23" s="194" t="s">
        <v>681</v>
      </c>
      <c r="F23" s="194" t="s">
        <v>682</v>
      </c>
      <c r="G23" s="156"/>
      <c r="H23" s="156"/>
      <c r="I23" s="156"/>
      <c r="J23" s="156"/>
    </row>
    <row r="24" spans="1:10">
      <c r="A24" s="154" t="s">
        <v>683</v>
      </c>
      <c r="B24" s="195">
        <f xml:space="preserve"> B3 + (LOOKUP(B13, SuperalloyName, SuperalloyRatio) * 0.085 * B3)</f>
        <v>82.460000000000008</v>
      </c>
      <c r="C24" s="197">
        <f xml:space="preserve"> D10</f>
        <v>3952</v>
      </c>
      <c r="D24" s="197">
        <f xml:space="preserve"> (B24 / 10) * PI() * (C24 / 10)</f>
        <v>10237.882458097367</v>
      </c>
      <c r="E24" s="197">
        <f xml:space="preserve"> (B3 / 10) * PI() * (C24 / 10)</f>
        <v>9435.8363669100145</v>
      </c>
      <c r="F24" s="197">
        <f>D24 - E24</f>
        <v>802.04609118735243</v>
      </c>
      <c r="G24" s="156" t="s">
        <v>558</v>
      </c>
      <c r="H24" s="156"/>
      <c r="I24" s="156"/>
      <c r="J24" s="156"/>
    </row>
    <row r="25" spans="1:10">
      <c r="A25" s="156" t="s">
        <v>684</v>
      </c>
      <c r="B25" s="195">
        <f xml:space="preserve"> F24 * B14 * 8.3 / 1000</f>
        <v>52.523592373586148</v>
      </c>
      <c r="C25" s="194" t="s">
        <v>276</v>
      </c>
      <c r="D25" s="156"/>
      <c r="E25" s="156"/>
      <c r="F25" s="156"/>
      <c r="G25" s="156"/>
      <c r="H25" s="156"/>
      <c r="I25" s="156"/>
      <c r="J25" s="156"/>
    </row>
    <row r="26" spans="1:10">
      <c r="A26" s="156" t="s">
        <v>685</v>
      </c>
      <c r="B26" s="195">
        <f xml:space="preserve"> IF(D18, LOOKUP(B3, BreechCaliber, BreechAuto), LOOKUP(B3, BreechCaliber, BreechSingle)) * LOOKUP(B13, SuperalloyName, SuperalloyRatio)</f>
        <v>45.54</v>
      </c>
      <c r="C26" s="194" t="s">
        <v>276</v>
      </c>
      <c r="D26" s="156"/>
      <c r="E26" s="193"/>
      <c r="F26" s="202"/>
      <c r="G26" s="156"/>
      <c r="H26" s="156"/>
      <c r="I26" s="156"/>
      <c r="J26" s="156"/>
    </row>
    <row r="27" spans="1:10">
      <c r="A27" s="156" t="s">
        <v>686</v>
      </c>
      <c r="B27" s="198">
        <f xml:space="preserve"> ((B24 + B25 + D21) * LOOKUP(B16, ChamberName, ChamberModifier)) + B26</f>
        <v>188.40213122962408</v>
      </c>
      <c r="C27" s="194" t="s">
        <v>276</v>
      </c>
      <c r="D27" s="156"/>
      <c r="E27" s="193"/>
      <c r="F27" s="202"/>
      <c r="G27" s="156"/>
      <c r="H27" s="156"/>
      <c r="I27" s="156"/>
      <c r="J27" s="156"/>
    </row>
    <row r="28" spans="1:10">
      <c r="A28" s="156" t="s">
        <v>687</v>
      </c>
      <c r="B28" s="231">
        <f xml:space="preserve"> (B7 * B11) / (B7 + B27) * D19 * LOOKUP(B15, BatteryName, BatteryModifier) * LOOKUP(B16, ChamberName, ChamberVelocity)</f>
        <v>89.958806904980463</v>
      </c>
      <c r="C28" s="194" t="s">
        <v>773</v>
      </c>
      <c r="D28" s="156"/>
      <c r="E28" s="193"/>
      <c r="F28" s="202"/>
      <c r="G28" s="156"/>
      <c r="H28" s="156"/>
      <c r="I28" s="156"/>
      <c r="J28" s="156"/>
    </row>
    <row r="29" spans="1:10">
      <c r="A29" s="156" t="s">
        <v>689</v>
      </c>
      <c r="B29" s="198">
        <f xml:space="preserve"> IF(LOOKUP(B15, BatteryName, BatteryModifier) = 1, 0.5 * B27 * B28^2, (0.5 / B27) * (B27 * B28 * (1 - B21))^2)</f>
        <v>762330.31330661487</v>
      </c>
      <c r="C29" s="194" t="s">
        <v>745</v>
      </c>
      <c r="D29" s="156"/>
      <c r="I29" s="156"/>
      <c r="J29" s="156"/>
    </row>
    <row r="30" spans="1:10">
      <c r="A30" s="156" t="s">
        <v>690</v>
      </c>
      <c r="B30" s="198">
        <f xml:space="preserve"> IF(D19 &lt;= 1.5, 0, B29 * B21)</f>
        <v>152466.06266132297</v>
      </c>
      <c r="C30" s="194" t="s">
        <v>745</v>
      </c>
      <c r="D30" s="156"/>
      <c r="E30" s="156"/>
      <c r="F30" s="156"/>
      <c r="G30" s="156"/>
      <c r="H30" s="156"/>
      <c r="I30" s="156"/>
      <c r="J30" s="156"/>
    </row>
    <row r="31" spans="1:10">
      <c r="A31" s="156" t="s">
        <v>691</v>
      </c>
      <c r="B31" s="198">
        <f xml:space="preserve"> B29 - B30</f>
        <v>609864.25064529188</v>
      </c>
      <c r="C31" s="194" t="s">
        <v>745</v>
      </c>
      <c r="D31" s="156"/>
      <c r="E31" s="232"/>
      <c r="F31" s="156"/>
      <c r="G31" s="156"/>
      <c r="H31" s="156"/>
      <c r="I31" s="156"/>
      <c r="J31" s="156"/>
    </row>
    <row r="32" spans="1:10">
      <c r="A32" s="156" t="s">
        <v>692</v>
      </c>
      <c r="B32" s="198">
        <f xml:space="preserve"> IF( D18, ((B31 / (D20 + LOOKUP(B15, BatteryName, BatteryRecoil))) + H18) / 1000, (B31 / (D20 + LOOKUP(B15, BatteryName, BatteryRecoil))) / 1000)</f>
        <v>2000.8669640593564</v>
      </c>
      <c r="C32" s="194" t="s">
        <v>693</v>
      </c>
      <c r="D32" s="156"/>
      <c r="E32" s="232" t="s">
        <v>905</v>
      </c>
      <c r="F32" s="156">
        <f xml:space="preserve"> (F24 / 100^3) + 'Turret Design'!C34 + ('Turret Design'!C1 * 0.5 / 1000)</f>
        <v>8.8302046091187344E-2</v>
      </c>
      <c r="G32" s="156" t="s">
        <v>255</v>
      </c>
      <c r="H32" s="156"/>
      <c r="I32" s="156"/>
      <c r="J32" s="156"/>
    </row>
    <row r="33" spans="1:10">
      <c r="A33" s="156" t="s">
        <v>694</v>
      </c>
      <c r="B33" s="198">
        <f xml:space="preserve"> B32 * 2</f>
        <v>4001.7339281187128</v>
      </c>
      <c r="C33" s="194" t="s">
        <v>276</v>
      </c>
      <c r="D33" s="156"/>
      <c r="E33" s="232" t="s">
        <v>907</v>
      </c>
      <c r="F33" s="156">
        <f xml:space="preserve"> (F32 * B27) + (B33 * 0.5 * 'Turret Design'!C1 / 1000) + (('Turret Design'!L30 + 'Turret Design'!L52) * ('Turret Design'!C34 + ('Turret Design'!C1 * 0.5 / 1000)))</f>
        <v>438.52224541027726</v>
      </c>
      <c r="G33" s="156" t="s">
        <v>909</v>
      </c>
      <c r="H33" s="156"/>
      <c r="I33" s="156"/>
      <c r="J33" s="156"/>
    </row>
    <row r="34" spans="1:10">
      <c r="A34" s="156" t="s">
        <v>695</v>
      </c>
      <c r="B34" s="198">
        <f xml:space="preserve"> (B32 / 0.00683060109289618) / 1000^2</f>
        <v>0.29292692353828953</v>
      </c>
      <c r="C34" s="194" t="s">
        <v>255</v>
      </c>
      <c r="D34" s="156"/>
      <c r="E34" s="232" t="s">
        <v>906</v>
      </c>
      <c r="F34" s="156">
        <f xml:space="preserve"> ('Turret Design'!C8 - 'Turret Design'!C10) - ('Turret Design'!C1 * 0.5 / 1000)</f>
        <v>1.1225000000000001</v>
      </c>
      <c r="G34" s="156" t="s">
        <v>255</v>
      </c>
      <c r="H34" s="156"/>
      <c r="I34" s="156"/>
      <c r="J34" s="156"/>
    </row>
    <row r="35" spans="1:10">
      <c r="A35" s="156" t="s">
        <v>911</v>
      </c>
      <c r="B35" s="233">
        <f xml:space="preserve"> IF(F33 - F35 &gt; 0, (F33 - F35) / 1000, 0)</f>
        <v>0</v>
      </c>
      <c r="C35" s="194" t="s">
        <v>840</v>
      </c>
      <c r="D35" s="156"/>
      <c r="E35" s="232" t="s">
        <v>908</v>
      </c>
      <c r="F35" s="156">
        <f xml:space="preserve"> 'Turret Design'!L106 * F34</f>
        <v>911.07227463930394</v>
      </c>
      <c r="G35" s="156" t="s">
        <v>909</v>
      </c>
      <c r="H35" s="156"/>
      <c r="I35" s="156"/>
      <c r="J35" s="156"/>
    </row>
    <row r="36" spans="1:10">
      <c r="A36" s="156" t="s">
        <v>910</v>
      </c>
      <c r="B36" s="233">
        <f xml:space="preserve"> B35 * 1000^2 / (Lookup!B159 * 100^3)</f>
        <v>0</v>
      </c>
      <c r="C36" s="194" t="s">
        <v>255</v>
      </c>
      <c r="D36" s="156"/>
      <c r="E36" s="232"/>
      <c r="F36" s="156"/>
      <c r="G36" s="156"/>
      <c r="H36" s="156"/>
      <c r="I36" s="156"/>
      <c r="J36" s="156"/>
    </row>
    <row r="37" spans="1:10">
      <c r="A37" s="156" t="s">
        <v>980</v>
      </c>
      <c r="B37" s="233">
        <f xml:space="preserve"> LOOKUP(B17, AutoloaderName, AutoloaderVolume) * E37</f>
        <v>0</v>
      </c>
      <c r="C37" s="194" t="s">
        <v>255</v>
      </c>
      <c r="D37" s="156"/>
      <c r="E37" s="232">
        <f xml:space="preserve"> IF(B17 = "Manual", 0, ((C52 - MOD(C52, LOOKUP(B17, AutoloaderName, AutoloaderCapacity))) / LOOKUP(B17, AutoloaderName, AutoloaderCapacity)) + 1)</f>
        <v>0</v>
      </c>
      <c r="F37" s="156" t="s">
        <v>982</v>
      </c>
      <c r="G37" s="156"/>
      <c r="H37" s="156"/>
      <c r="I37" s="156"/>
      <c r="J37" s="156"/>
    </row>
    <row r="38" spans="1:10">
      <c r="A38" s="156" t="s">
        <v>981</v>
      </c>
      <c r="B38" s="233">
        <f xml:space="preserve"> LOOKUP(B17, AutoloaderName, AutoloaderWeight) * E37 / 1000</f>
        <v>0</v>
      </c>
      <c r="C38" s="194" t="s">
        <v>840</v>
      </c>
      <c r="D38" s="156"/>
      <c r="E38" s="232"/>
      <c r="F38" s="156"/>
      <c r="G38" s="156"/>
      <c r="H38" s="156"/>
      <c r="I38" s="156"/>
      <c r="J38" s="156"/>
    </row>
    <row r="39" spans="1:10">
      <c r="A39" s="156"/>
      <c r="B39" s="164"/>
      <c r="C39" s="156"/>
      <c r="D39" s="156"/>
      <c r="E39" s="156"/>
      <c r="F39" s="156"/>
      <c r="G39" s="156"/>
      <c r="H39" s="274"/>
      <c r="I39" s="156"/>
      <c r="J39" s="156"/>
    </row>
    <row r="40" spans="1:10">
      <c r="A40" s="156" t="s">
        <v>686</v>
      </c>
      <c r="B40" s="164">
        <f xml:space="preserve"> ((B27 + B33) / 1000) + B35 + B38</f>
        <v>4.1901360593483368</v>
      </c>
      <c r="C40" s="156" t="s">
        <v>840</v>
      </c>
      <c r="D40" s="156"/>
      <c r="E40" s="156"/>
      <c r="F40" s="156"/>
      <c r="G40" s="156"/>
      <c r="H40" s="156"/>
      <c r="I40" s="156"/>
      <c r="J40" s="156"/>
    </row>
    <row r="41" spans="1:10">
      <c r="A41" s="156" t="s">
        <v>698</v>
      </c>
      <c r="B41" s="164">
        <f xml:space="preserve"> IF(D18, (LOOKUP(B3, BreechCaliber, BreechVolumeAuto) * LOOKUP(B13, SuperalloyName, SuperalloyRatio))  + B34 + B36 + B37, (LOOKUP(B3, BreechCaliber, BreechVolumeSingle) * LOOKUP(B13, SuperalloyName, SuperalloyRatio)) + B34 + B36 +B37)</f>
        <v>0.37292692353828955</v>
      </c>
      <c r="C41" s="156" t="s">
        <v>255</v>
      </c>
      <c r="D41" s="156"/>
      <c r="E41" s="156"/>
      <c r="F41" s="156"/>
      <c r="G41" s="156"/>
      <c r="H41" s="156"/>
      <c r="I41" s="156"/>
      <c r="J41" s="156"/>
    </row>
    <row r="42" spans="1:10">
      <c r="A42" s="156"/>
      <c r="B42" s="164"/>
      <c r="C42" s="156"/>
      <c r="D42" s="156"/>
      <c r="E42" s="156"/>
      <c r="F42" s="156"/>
      <c r="G42" s="156"/>
      <c r="H42" s="156"/>
      <c r="I42" s="156"/>
      <c r="J42" s="156"/>
    </row>
    <row r="43" spans="1:10">
      <c r="A43" s="156"/>
      <c r="B43" s="200" t="s">
        <v>22</v>
      </c>
      <c r="C43" s="193" t="s">
        <v>21</v>
      </c>
      <c r="D43" s="205"/>
      <c r="E43" s="156"/>
      <c r="F43" s="156"/>
      <c r="G43" s="156"/>
      <c r="H43" s="156"/>
      <c r="I43" s="156"/>
      <c r="J43" s="156"/>
    </row>
    <row r="44" spans="1:10">
      <c r="A44" s="156" t="s">
        <v>701</v>
      </c>
      <c r="B44" s="198">
        <f xml:space="preserve"> B2 * B40</f>
        <v>0</v>
      </c>
      <c r="C44" s="198">
        <f xml:space="preserve"> C2 * B40</f>
        <v>4.1901360593483368</v>
      </c>
      <c r="D44" s="156" t="s">
        <v>840</v>
      </c>
      <c r="E44" s="156"/>
      <c r="F44" s="156"/>
      <c r="G44" s="156"/>
      <c r="H44" s="156"/>
      <c r="I44" s="156"/>
      <c r="J44" s="156"/>
    </row>
    <row r="45" spans="1:10">
      <c r="A45" s="156" t="s">
        <v>702</v>
      </c>
      <c r="B45" s="198">
        <f xml:space="preserve"> B2 * B41</f>
        <v>0</v>
      </c>
      <c r="C45" s="198">
        <f xml:space="preserve"> C2 * B41</f>
        <v>0.37292692353828955</v>
      </c>
      <c r="D45" s="156" t="s">
        <v>255</v>
      </c>
      <c r="E45" s="156"/>
      <c r="F45" s="156"/>
      <c r="G45" s="156"/>
    </row>
    <row r="46" spans="1:10">
      <c r="A46" s="156"/>
      <c r="B46" s="198"/>
      <c r="C46" s="198"/>
      <c r="D46" s="156"/>
      <c r="E46" s="156"/>
      <c r="F46" s="156"/>
      <c r="G46" s="156"/>
    </row>
    <row r="47" spans="1:10">
      <c r="A47" s="154" t="s">
        <v>703</v>
      </c>
      <c r="B47" s="82">
        <v>0</v>
      </c>
      <c r="C47" s="154" t="s">
        <v>704</v>
      </c>
      <c r="D47" s="196">
        <f xml:space="preserve"> B47 * F18</f>
        <v>0</v>
      </c>
      <c r="E47" s="156" t="s">
        <v>705</v>
      </c>
      <c r="F47" s="156"/>
      <c r="G47" s="156"/>
    </row>
    <row r="48" spans="1:10">
      <c r="A48" s="156"/>
      <c r="B48" s="164"/>
      <c r="C48" s="156"/>
      <c r="D48" s="156"/>
      <c r="E48" s="156"/>
      <c r="F48" s="156"/>
      <c r="G48" s="156"/>
    </row>
    <row r="49" spans="1:10">
      <c r="A49" s="154"/>
      <c r="B49" s="200" t="s">
        <v>22</v>
      </c>
      <c r="C49" s="193" t="s">
        <v>21</v>
      </c>
      <c r="D49" s="194" t="s">
        <v>248</v>
      </c>
      <c r="E49" s="156"/>
      <c r="F49" s="156"/>
      <c r="G49" s="156"/>
    </row>
    <row r="50" spans="1:10">
      <c r="A50" s="154" t="s">
        <v>706</v>
      </c>
      <c r="B50" s="82">
        <v>0</v>
      </c>
      <c r="C50" s="56">
        <v>76</v>
      </c>
      <c r="D50" s="198">
        <f xml:space="preserve"> B50 + C50</f>
        <v>76</v>
      </c>
      <c r="E50" s="157" t="s">
        <v>653</v>
      </c>
      <c r="F50" s="156"/>
      <c r="G50" s="156"/>
    </row>
    <row r="51" spans="1:10">
      <c r="A51" s="154" t="s">
        <v>896</v>
      </c>
      <c r="B51" s="82">
        <v>0</v>
      </c>
      <c r="C51" s="56">
        <v>0</v>
      </c>
      <c r="D51" s="233">
        <f xml:space="preserve"> B51 + C51</f>
        <v>0</v>
      </c>
      <c r="E51" s="157" t="s">
        <v>653</v>
      </c>
      <c r="F51" s="156"/>
      <c r="G51" s="156"/>
    </row>
    <row r="52" spans="1:10">
      <c r="A52" s="154"/>
      <c r="B52" s="164">
        <f xml:space="preserve"> SUM(B50:B51)</f>
        <v>0</v>
      </c>
      <c r="C52" s="156">
        <f xml:space="preserve"> SUM(C50:C51)</f>
        <v>76</v>
      </c>
      <c r="D52" s="233">
        <f xml:space="preserve"> SUM(D50:D51)</f>
        <v>76</v>
      </c>
      <c r="E52" s="157" t="s">
        <v>897</v>
      </c>
      <c r="F52" s="156"/>
      <c r="G52" s="156"/>
    </row>
    <row r="53" spans="1:10">
      <c r="A53" s="154"/>
      <c r="B53" s="164"/>
      <c r="C53" s="156"/>
      <c r="D53" s="233"/>
      <c r="E53" s="157"/>
      <c r="F53" s="156"/>
      <c r="G53" s="156"/>
    </row>
    <row r="54" spans="1:10">
      <c r="A54" s="154" t="s">
        <v>707</v>
      </c>
      <c r="B54" s="191" t="s">
        <v>478</v>
      </c>
      <c r="C54" s="156"/>
      <c r="D54" s="192"/>
      <c r="E54" s="157"/>
      <c r="F54" s="156"/>
      <c r="G54" s="156"/>
    </row>
    <row r="55" spans="1:10">
      <c r="A55" s="154" t="s">
        <v>708</v>
      </c>
      <c r="B55" s="191" t="s">
        <v>356</v>
      </c>
      <c r="C55" s="156"/>
      <c r="D55" s="192"/>
      <c r="E55" s="157"/>
      <c r="F55" s="156"/>
      <c r="G55" s="156"/>
    </row>
    <row r="56" spans="1:10">
      <c r="A56" s="156"/>
      <c r="B56" s="164"/>
      <c r="C56" s="156"/>
      <c r="D56" s="192"/>
      <c r="E56" s="157"/>
      <c r="F56" s="156"/>
      <c r="G56" s="156"/>
    </row>
    <row r="57" spans="1:10">
      <c r="A57" s="156" t="s">
        <v>665</v>
      </c>
      <c r="B57" s="164">
        <f xml:space="preserve"> B7</f>
        <v>7</v>
      </c>
      <c r="C57" s="156" t="s">
        <v>276</v>
      </c>
      <c r="D57" s="281"/>
      <c r="E57" s="148" t="s">
        <v>894</v>
      </c>
      <c r="F57" s="164">
        <f xml:space="preserve"> B9</f>
        <v>4.3</v>
      </c>
      <c r="G57" s="156" t="s">
        <v>276</v>
      </c>
      <c r="J57" s="175"/>
    </row>
    <row r="58" spans="1:10">
      <c r="A58" s="156" t="s">
        <v>709</v>
      </c>
      <c r="B58" s="164">
        <f xml:space="preserve"> J11 / LOOKUP(B19, PropellantName, PropellantEnergyDensity) / 1000</f>
        <v>1.9943481320065461</v>
      </c>
      <c r="C58" s="156" t="s">
        <v>276</v>
      </c>
      <c r="D58" s="156"/>
      <c r="E58" s="157" t="s">
        <v>898</v>
      </c>
      <c r="F58" s="164">
        <f xml:space="preserve"> F57 + SUM(B58:B59)</f>
        <v>13.332651751667427</v>
      </c>
      <c r="G58" s="156" t="s">
        <v>276</v>
      </c>
    </row>
    <row r="59" spans="1:10">
      <c r="A59" s="156" t="s">
        <v>710</v>
      </c>
      <c r="B59" s="164">
        <f xml:space="preserve"> F60 * LOOKUP(B55, CartridgeMaterialName, CartridgeMaterialDensity) / 1000</f>
        <v>7.0383036196608808</v>
      </c>
      <c r="C59" s="156" t="s">
        <v>276</v>
      </c>
      <c r="D59" s="156"/>
      <c r="E59" s="156"/>
      <c r="F59" s="156"/>
      <c r="G59" s="156"/>
    </row>
    <row r="60" spans="1:10">
      <c r="A60" s="156" t="s">
        <v>711</v>
      </c>
      <c r="B60" s="164">
        <f xml:space="preserve"> SUM(B57:B59)</f>
        <v>16.032651751667427</v>
      </c>
      <c r="C60" s="156" t="s">
        <v>276</v>
      </c>
      <c r="D60" s="192">
        <f xml:space="preserve"> LOOKUP(B55, CartridgeMaterialName, CartridgeMaterialDensity)</f>
        <v>8.43</v>
      </c>
      <c r="E60" s="157"/>
      <c r="F60" s="156">
        <f xml:space="preserve"> F61 * 0.5</f>
        <v>834.9114614069847</v>
      </c>
      <c r="G60" s="156" t="s">
        <v>712</v>
      </c>
    </row>
    <row r="61" spans="1:10">
      <c r="A61" s="154"/>
      <c r="B61" s="164"/>
      <c r="C61" s="156"/>
      <c r="D61" s="192"/>
      <c r="E61" s="157"/>
      <c r="F61" s="156">
        <f xml:space="preserve"> 2 * F62 * PI() * F63</f>
        <v>1669.8229228139694</v>
      </c>
      <c r="G61" s="156" t="s">
        <v>713</v>
      </c>
    </row>
    <row r="62" spans="1:10">
      <c r="A62" s="157" t="s">
        <v>714</v>
      </c>
      <c r="B62" s="164">
        <f xml:space="preserve"> B3  / LOOKUP(B54, CartridgeName, CartridgeWidth)</f>
        <v>95</v>
      </c>
      <c r="C62" s="157" t="s">
        <v>241</v>
      </c>
      <c r="D62" s="156">
        <f xml:space="preserve"> (B62 / 20)^2 * PI()</f>
        <v>70.882184246619701</v>
      </c>
      <c r="E62" s="156" t="s">
        <v>558</v>
      </c>
      <c r="F62" s="156">
        <f xml:space="preserve"> B62 / 20</f>
        <v>4.75</v>
      </c>
      <c r="G62" s="156" t="s">
        <v>715</v>
      </c>
    </row>
    <row r="63" spans="1:10">
      <c r="A63" s="157" t="s">
        <v>716</v>
      </c>
      <c r="B63" s="164">
        <f xml:space="preserve"> B3 * LOOKUP(B54, CartridgeName, CartridgeLength)</f>
        <v>273.60000000000002</v>
      </c>
      <c r="C63" s="157" t="s">
        <v>241</v>
      </c>
      <c r="D63" s="156"/>
      <c r="E63" s="156"/>
      <c r="F63" s="156">
        <f xml:space="preserve"> B64 / 10</f>
        <v>55.949594158736772</v>
      </c>
      <c r="G63" s="156" t="s">
        <v>717</v>
      </c>
      <c r="H63" s="156"/>
      <c r="I63" s="156"/>
      <c r="J63" s="156"/>
    </row>
    <row r="64" spans="1:10">
      <c r="A64" s="157" t="s">
        <v>718</v>
      </c>
      <c r="B64" s="164">
        <f xml:space="preserve"> IF(B54="liquid/railgun round",0, (D64 / D62) * 10)</f>
        <v>559.49594158736772</v>
      </c>
      <c r="C64" s="157" t="s">
        <v>241</v>
      </c>
      <c r="D64" s="156">
        <f xml:space="preserve"> D11 * 1000^2 / LOOKUP(B19, PropellantName, PropellantEnergyVolume)</f>
        <v>3965.8294416831773</v>
      </c>
      <c r="E64" s="156" t="s">
        <v>719</v>
      </c>
      <c r="F64" s="156"/>
      <c r="G64" s="156"/>
      <c r="H64" s="156"/>
      <c r="I64" s="156"/>
      <c r="J64" s="156"/>
    </row>
    <row r="65" spans="1:10">
      <c r="A65" s="157" t="s">
        <v>720</v>
      </c>
      <c r="B65" s="164">
        <f xml:space="preserve"> B63 + B64</f>
        <v>833.09594158736775</v>
      </c>
      <c r="C65" s="157" t="s">
        <v>241</v>
      </c>
      <c r="D65" s="156"/>
      <c r="E65" s="156"/>
      <c r="F65" s="156"/>
      <c r="G65" s="156"/>
      <c r="H65" s="156"/>
      <c r="I65" s="156"/>
      <c r="J65" s="156"/>
    </row>
    <row r="66" spans="1:10">
      <c r="A66" s="157" t="s">
        <v>721</v>
      </c>
      <c r="B66" s="164">
        <f xml:space="preserve"> (B62 / 2000)^2 * PI() * (B65 / 1000)</f>
        <v>5.9051660026706934E-3</v>
      </c>
      <c r="C66" s="156" t="s">
        <v>255</v>
      </c>
      <c r="D66" s="156"/>
      <c r="E66" s="156"/>
      <c r="F66" s="156"/>
      <c r="G66" s="156"/>
      <c r="H66" s="156"/>
      <c r="I66" s="156"/>
      <c r="J66" s="156"/>
    </row>
    <row r="67" spans="1:10">
      <c r="A67" s="156"/>
      <c r="B67" s="164"/>
      <c r="C67" s="156"/>
      <c r="D67" s="156"/>
      <c r="E67" s="156"/>
      <c r="F67" s="156"/>
      <c r="G67" s="156"/>
      <c r="H67" s="156"/>
      <c r="I67" s="156"/>
      <c r="J67" s="156"/>
    </row>
    <row r="68" spans="1:10">
      <c r="A68" s="156"/>
      <c r="B68" s="200" t="s">
        <v>22</v>
      </c>
      <c r="C68" s="193" t="s">
        <v>21</v>
      </c>
      <c r="D68" s="156"/>
      <c r="E68" s="192"/>
      <c r="F68" s="192"/>
      <c r="G68" s="156"/>
      <c r="H68" s="156"/>
      <c r="I68" s="156"/>
      <c r="J68" s="156"/>
    </row>
    <row r="69" spans="1:10">
      <c r="A69" s="156" t="s">
        <v>722</v>
      </c>
      <c r="B69" s="198">
        <f xml:space="preserve"> (B50 * B66 * 2.5) + (B51 * B66 * 2.5)</f>
        <v>0</v>
      </c>
      <c r="C69" s="192">
        <f xml:space="preserve"> (C50 * B66 * 2.5) + (C51 * B66 * 2.5)</f>
        <v>1.1219815405074318</v>
      </c>
      <c r="D69" s="156" t="s">
        <v>255</v>
      </c>
      <c r="E69" s="156"/>
      <c r="F69" s="156"/>
      <c r="G69" s="156"/>
      <c r="H69" s="156"/>
      <c r="I69" s="156"/>
      <c r="J69" s="156"/>
    </row>
    <row r="70" spans="1:10">
      <c r="A70" s="156" t="s">
        <v>723</v>
      </c>
      <c r="B70" s="198">
        <f xml:space="preserve"> (B60 * B50 / 1000) + (F58 * B51 / 1000)</f>
        <v>0</v>
      </c>
      <c r="C70" s="192">
        <f xml:space="preserve"> (C50 * B60 / 1000) + (C51 * F58 / 1000)</f>
        <v>1.2184815331267242</v>
      </c>
      <c r="D70" s="156" t="s">
        <v>840</v>
      </c>
      <c r="E70" s="156"/>
      <c r="F70" s="156"/>
      <c r="G70" s="156"/>
      <c r="H70" s="156"/>
      <c r="I70" s="156"/>
      <c r="J70" s="156"/>
    </row>
    <row r="71" spans="1:10">
      <c r="A71" s="156"/>
      <c r="B71" s="198"/>
      <c r="C71" s="192"/>
      <c r="D71" s="156"/>
      <c r="E71" s="156"/>
      <c r="F71" s="156"/>
      <c r="G71" s="156"/>
      <c r="H71" s="156"/>
      <c r="I71" s="156"/>
      <c r="J71" s="156"/>
    </row>
    <row r="72" spans="1:10" ht="15.75" thickBot="1">
      <c r="A72" s="161"/>
      <c r="B72" s="201"/>
      <c r="C72" s="199"/>
      <c r="D72" s="161"/>
      <c r="E72" s="161"/>
      <c r="F72" s="161"/>
      <c r="G72" s="161"/>
      <c r="H72" s="161"/>
      <c r="I72" s="161"/>
      <c r="J72" s="161"/>
    </row>
    <row r="73" spans="1:10" ht="15.75" thickTop="1">
      <c r="A73" s="156"/>
      <c r="B73" s="164"/>
      <c r="C73" s="156"/>
      <c r="D73" s="156"/>
      <c r="E73" s="156"/>
      <c r="F73" s="156"/>
      <c r="G73" s="156"/>
      <c r="H73" s="156"/>
      <c r="I73" s="156"/>
      <c r="J73" s="156"/>
    </row>
    <row r="74" spans="1:10" ht="15.75">
      <c r="A74" s="159" t="s">
        <v>659</v>
      </c>
      <c r="B74" s="193" t="s">
        <v>22</v>
      </c>
      <c r="C74" s="193" t="s">
        <v>21</v>
      </c>
      <c r="D74" s="192"/>
      <c r="E74" s="156"/>
      <c r="F74" s="156"/>
      <c r="G74" s="156"/>
      <c r="H74" s="156"/>
      <c r="I74" s="156"/>
      <c r="J74" s="156"/>
    </row>
    <row r="75" spans="1:10">
      <c r="A75" s="154" t="s">
        <v>660</v>
      </c>
      <c r="B75" s="82">
        <v>0</v>
      </c>
      <c r="C75" s="56">
        <v>0</v>
      </c>
      <c r="D75" s="193" t="s">
        <v>661</v>
      </c>
      <c r="E75" s="156"/>
      <c r="F75" s="156"/>
      <c r="G75" s="156"/>
      <c r="H75" s="156"/>
      <c r="I75" s="156"/>
      <c r="J75" s="156"/>
    </row>
    <row r="76" spans="1:10">
      <c r="A76" s="154" t="s">
        <v>662</v>
      </c>
      <c r="B76" s="191">
        <v>120</v>
      </c>
      <c r="C76" s="154" t="s">
        <v>241</v>
      </c>
      <c r="D76" s="158">
        <f xml:space="preserve"> B76 * 'Hull Design'!G67 / 10</f>
        <v>0</v>
      </c>
      <c r="E76" s="156" t="s">
        <v>303</v>
      </c>
      <c r="F76" s="156"/>
      <c r="G76" s="156"/>
      <c r="H76" s="156"/>
      <c r="I76" s="156"/>
      <c r="J76" s="156"/>
    </row>
    <row r="77" spans="1:10">
      <c r="A77" s="157" t="s">
        <v>663</v>
      </c>
      <c r="B77" s="164">
        <v>22.141341687499235</v>
      </c>
      <c r="C77" s="157" t="s">
        <v>276</v>
      </c>
      <c r="D77" s="158">
        <f xml:space="preserve"> B77 * 1000</f>
        <v>22141.341687499236</v>
      </c>
      <c r="E77" s="156" t="s">
        <v>864</v>
      </c>
      <c r="F77" s="156"/>
      <c r="G77" s="156"/>
      <c r="H77" s="156"/>
      <c r="I77" s="156"/>
      <c r="J77" s="156"/>
    </row>
    <row r="78" spans="1:10">
      <c r="A78" s="157" t="s">
        <v>664</v>
      </c>
      <c r="B78" s="164">
        <v>74.248991336884572</v>
      </c>
      <c r="C78" s="157" t="s">
        <v>276</v>
      </c>
      <c r="D78" s="158">
        <f xml:space="preserve"> B78 * 1000</f>
        <v>74248.991336884574</v>
      </c>
      <c r="E78" s="156" t="s">
        <v>864</v>
      </c>
      <c r="F78" s="156"/>
      <c r="G78" s="156"/>
      <c r="H78" s="156"/>
      <c r="I78" s="156"/>
      <c r="J78" s="156"/>
    </row>
    <row r="79" spans="1:10">
      <c r="A79" s="154" t="s">
        <v>466</v>
      </c>
      <c r="B79" s="208" t="s">
        <v>902</v>
      </c>
      <c r="C79" s="157" t="s">
        <v>900</v>
      </c>
      <c r="D79" s="158"/>
      <c r="E79" s="156"/>
      <c r="F79" s="156"/>
      <c r="G79" s="156"/>
      <c r="H79" s="156"/>
      <c r="I79" s="156"/>
      <c r="J79" s="156"/>
    </row>
    <row r="80" spans="1:10">
      <c r="A80" s="154" t="s">
        <v>665</v>
      </c>
      <c r="B80" s="191">
        <v>0</v>
      </c>
      <c r="C80" s="154" t="s">
        <v>276</v>
      </c>
      <c r="D80" s="158">
        <f xml:space="preserve"> B80 * 1000</f>
        <v>0</v>
      </c>
      <c r="E80" s="156" t="s">
        <v>864</v>
      </c>
      <c r="H80" s="156"/>
      <c r="I80" s="156"/>
      <c r="J80" s="156"/>
    </row>
    <row r="81" spans="1:10">
      <c r="A81" s="154" t="s">
        <v>899</v>
      </c>
      <c r="B81" s="191" t="s">
        <v>901</v>
      </c>
      <c r="C81" s="157" t="s">
        <v>900</v>
      </c>
      <c r="D81" s="158"/>
      <c r="E81" s="156"/>
      <c r="F81" s="290"/>
      <c r="G81" s="290"/>
      <c r="H81" s="290"/>
      <c r="I81" s="156"/>
      <c r="J81" s="156"/>
    </row>
    <row r="82" spans="1:10">
      <c r="A82" s="154" t="s">
        <v>894</v>
      </c>
      <c r="B82" s="191">
        <v>75</v>
      </c>
      <c r="C82" s="154" t="s">
        <v>276</v>
      </c>
      <c r="D82" s="158">
        <f xml:space="preserve"> B82 * 1000</f>
        <v>75000</v>
      </c>
      <c r="E82" s="156" t="s">
        <v>864</v>
      </c>
      <c r="H82" s="156"/>
      <c r="I82" s="156"/>
      <c r="J82" s="156"/>
    </row>
    <row r="83" spans="1:10">
      <c r="A83" s="154" t="s">
        <v>725</v>
      </c>
      <c r="B83" s="206">
        <v>0</v>
      </c>
      <c r="C83" s="154" t="s">
        <v>670</v>
      </c>
      <c r="D83" s="158">
        <f xml:space="preserve"> B76 * B83</f>
        <v>0</v>
      </c>
      <c r="E83" s="156" t="s">
        <v>241</v>
      </c>
      <c r="F83" s="158">
        <f xml:space="preserve"> D83 / 10</f>
        <v>0</v>
      </c>
      <c r="G83" s="156" t="s">
        <v>212</v>
      </c>
    </row>
    <row r="84" spans="1:10">
      <c r="A84" s="157" t="s">
        <v>726</v>
      </c>
      <c r="B84" s="207">
        <f xml:space="preserve"> IF(B80 = 0, 0, SQRT(D84 * 2 * 10^6 / B80))</f>
        <v>0</v>
      </c>
      <c r="C84" s="157" t="s">
        <v>667</v>
      </c>
      <c r="D84" s="158">
        <f xml:space="preserve"> F84 * D76^3 / 11.51</f>
        <v>0</v>
      </c>
      <c r="E84" s="156" t="s">
        <v>668</v>
      </c>
      <c r="F84" s="157">
        <f xml:space="preserve"> (B83 / 50)^(4 / 3)</f>
        <v>0</v>
      </c>
      <c r="G84" s="156" t="s">
        <v>669</v>
      </c>
      <c r="H84" s="158">
        <f xml:space="preserve"> B84 /2</f>
        <v>0</v>
      </c>
      <c r="I84" s="156" t="s">
        <v>772</v>
      </c>
      <c r="J84" s="156">
        <f xml:space="preserve"> D84 * 10 ^ 6</f>
        <v>0</v>
      </c>
    </row>
    <row r="85" spans="1:10">
      <c r="A85" s="154" t="s">
        <v>735</v>
      </c>
      <c r="B85" s="208" t="s">
        <v>737</v>
      </c>
      <c r="C85" s="157"/>
      <c r="D85" s="158"/>
      <c r="E85" s="156"/>
      <c r="F85" s="157"/>
      <c r="G85" s="156"/>
      <c r="H85" s="158"/>
      <c r="I85" s="156"/>
      <c r="J85" s="156"/>
    </row>
    <row r="86" spans="1:10">
      <c r="A86" s="157" t="s">
        <v>738</v>
      </c>
      <c r="B86" s="207">
        <v>7.89</v>
      </c>
      <c r="C86" s="157" t="s">
        <v>514</v>
      </c>
      <c r="D86" s="156"/>
      <c r="E86" s="156"/>
      <c r="F86" s="156">
        <f xml:space="preserve"> B84 * 'Hull Design'!G68</f>
        <v>0</v>
      </c>
      <c r="G86" s="156" t="s">
        <v>666</v>
      </c>
      <c r="H86" s="156"/>
      <c r="I86" s="156"/>
      <c r="J86" s="156"/>
    </row>
    <row r="87" spans="1:10">
      <c r="A87" s="154" t="s">
        <v>740</v>
      </c>
      <c r="B87" s="208" t="s">
        <v>737</v>
      </c>
      <c r="C87" s="157"/>
      <c r="D87" s="156"/>
      <c r="E87" s="156"/>
      <c r="F87" s="156"/>
      <c r="G87" s="156"/>
      <c r="H87" s="156"/>
      <c r="I87" s="156"/>
      <c r="J87" s="156"/>
    </row>
    <row r="88" spans="1:10">
      <c r="A88" s="154" t="s">
        <v>741</v>
      </c>
      <c r="B88" s="208" t="s">
        <v>743</v>
      </c>
      <c r="C88" s="157"/>
      <c r="D88" s="156"/>
      <c r="E88" s="156"/>
      <c r="F88" s="156"/>
      <c r="G88" s="156"/>
      <c r="H88" s="156"/>
      <c r="I88" s="156"/>
      <c r="J88" s="156"/>
    </row>
    <row r="89" spans="1:10">
      <c r="A89" s="154" t="s">
        <v>977</v>
      </c>
      <c r="B89" s="208" t="s">
        <v>978</v>
      </c>
      <c r="D89" s="154">
        <f xml:space="preserve"> LOOKUP(B89, AutoloaderName, AutoloaderCapacity)</f>
        <v>0</v>
      </c>
      <c r="E89" s="154" t="s">
        <v>983</v>
      </c>
      <c r="F89" s="156"/>
      <c r="G89" s="156"/>
      <c r="H89" s="156"/>
      <c r="I89" s="156"/>
      <c r="J89" s="156"/>
    </row>
    <row r="90" spans="1:10">
      <c r="A90" s="154" t="s">
        <v>671</v>
      </c>
      <c r="B90" s="191">
        <v>0</v>
      </c>
      <c r="C90" s="154" t="s">
        <v>672</v>
      </c>
      <c r="D90" s="203">
        <f xml:space="preserve"> IF(B90 &gt; 60, 1, 0)</f>
        <v>0</v>
      </c>
      <c r="E90" s="156" t="s">
        <v>724</v>
      </c>
      <c r="F90" s="158">
        <f xml:space="preserve"> B90 / 60</f>
        <v>0</v>
      </c>
      <c r="G90" s="156" t="s">
        <v>673</v>
      </c>
      <c r="H90" s="160">
        <f xml:space="preserve"> (F90 * B80 * B84) * LOOKUP(B91, PropellantName, AutoAccel)</f>
        <v>0</v>
      </c>
      <c r="I90" s="156" t="s">
        <v>674</v>
      </c>
      <c r="J90" s="156"/>
    </row>
    <row r="91" spans="1:10">
      <c r="A91" s="154" t="s">
        <v>447</v>
      </c>
      <c r="B91" s="191" t="s">
        <v>454</v>
      </c>
      <c r="C91" s="154"/>
      <c r="D91" s="158">
        <f xml:space="preserve"> LOOKUP(B91, PropellantName, PropellantSpeed)</f>
        <v>3</v>
      </c>
      <c r="E91" s="156" t="s">
        <v>675</v>
      </c>
      <c r="F91" s="156"/>
      <c r="G91" s="156"/>
      <c r="H91" s="156"/>
      <c r="I91" s="156"/>
      <c r="J91" s="156"/>
    </row>
    <row r="92" spans="1:10">
      <c r="A92" s="154" t="s">
        <v>676</v>
      </c>
      <c r="B92" s="191">
        <v>200</v>
      </c>
      <c r="C92" s="154" t="s">
        <v>241</v>
      </c>
      <c r="D92" s="158">
        <f xml:space="preserve"> B92 / 1000</f>
        <v>0.2</v>
      </c>
      <c r="E92" s="156" t="s">
        <v>297</v>
      </c>
      <c r="F92" s="156"/>
      <c r="G92" s="156"/>
      <c r="H92" s="156"/>
      <c r="I92" s="156"/>
      <c r="J92" s="156"/>
    </row>
    <row r="93" spans="1:10">
      <c r="A93" s="154" t="s">
        <v>677</v>
      </c>
      <c r="B93" s="209">
        <v>0</v>
      </c>
      <c r="C93" s="154" t="s">
        <v>191</v>
      </c>
      <c r="D93" s="158">
        <f xml:space="preserve"> IF(B93 &gt; 0, B99 * 0.15, 0)</f>
        <v>0</v>
      </c>
      <c r="E93" s="156" t="s">
        <v>276</v>
      </c>
      <c r="F93" s="154"/>
      <c r="G93" s="204"/>
      <c r="H93" s="156"/>
      <c r="I93" s="156"/>
      <c r="J93" s="156"/>
    </row>
    <row r="94" spans="1:10">
      <c r="A94" s="154"/>
      <c r="B94" s="292"/>
      <c r="C94" s="154"/>
      <c r="D94" s="158"/>
      <c r="E94" s="156"/>
      <c r="F94" s="154"/>
      <c r="G94" s="204"/>
      <c r="H94" s="156"/>
      <c r="I94" s="156"/>
      <c r="J94" s="156"/>
    </row>
    <row r="95" spans="1:10">
      <c r="A95" s="154" t="s">
        <v>966</v>
      </c>
      <c r="B95" s="209"/>
      <c r="C95" s="154"/>
      <c r="D95" s="158"/>
      <c r="E95" s="156"/>
      <c r="F95" s="154"/>
      <c r="G95" s="204"/>
      <c r="H95" s="156"/>
      <c r="I95" s="156"/>
      <c r="J95" s="156"/>
    </row>
    <row r="96" spans="1:10">
      <c r="D96" s="156"/>
      <c r="E96" s="156"/>
      <c r="F96" s="156"/>
      <c r="G96" s="156"/>
      <c r="H96" s="156"/>
      <c r="I96" s="156"/>
      <c r="J96" s="156"/>
    </row>
    <row r="97" spans="1:10">
      <c r="A97" s="154"/>
      <c r="B97" s="195" t="s">
        <v>678</v>
      </c>
      <c r="C97" s="194" t="s">
        <v>679</v>
      </c>
      <c r="D97" s="194" t="s">
        <v>680</v>
      </c>
      <c r="E97" s="194" t="s">
        <v>681</v>
      </c>
      <c r="F97" s="194" t="s">
        <v>682</v>
      </c>
      <c r="G97" s="156"/>
      <c r="H97" s="156"/>
      <c r="I97" s="156"/>
      <c r="J97" s="156"/>
    </row>
    <row r="98" spans="1:10">
      <c r="A98" s="154" t="s">
        <v>683</v>
      </c>
      <c r="B98" s="195">
        <f xml:space="preserve"> B76 + (LOOKUP(B85, SuperalloyName, SuperalloyRatio) * 0.085 * B76)</f>
        <v>130.19999999999999</v>
      </c>
      <c r="C98" s="197">
        <f xml:space="preserve"> D83</f>
        <v>0</v>
      </c>
      <c r="D98" s="197">
        <f xml:space="preserve"> (B98 / 100) * PI() * (C98 / 100)</f>
        <v>0</v>
      </c>
      <c r="E98" s="197">
        <f xml:space="preserve"> (B76 / 100) * PI() * (C98 / 100)</f>
        <v>0</v>
      </c>
      <c r="F98" s="197">
        <f>D98 - E98</f>
        <v>0</v>
      </c>
      <c r="G98" s="156"/>
      <c r="H98" s="156"/>
      <c r="I98" s="156"/>
      <c r="J98" s="156"/>
    </row>
    <row r="99" spans="1:10">
      <c r="A99" s="156" t="s">
        <v>684</v>
      </c>
      <c r="B99" s="195">
        <f xml:space="preserve"> F98 * B86 * 8.3</f>
        <v>0</v>
      </c>
      <c r="C99" s="194" t="s">
        <v>276</v>
      </c>
      <c r="D99" s="156"/>
      <c r="E99" s="156"/>
      <c r="F99" s="156"/>
      <c r="G99" s="156"/>
      <c r="H99" s="156"/>
      <c r="I99" s="156"/>
      <c r="J99" s="156"/>
    </row>
    <row r="100" spans="1:10">
      <c r="A100" s="156" t="s">
        <v>685</v>
      </c>
      <c r="B100" s="195">
        <f xml:space="preserve"> IF(D90, LOOKUP(B76, BreechCaliber, BreechAuto), LOOKUP(B76, BreechCaliber, BreechSingle)) * LOOKUP(B85, SuperalloyName, SuperalloyRatio)</f>
        <v>508.02</v>
      </c>
      <c r="C100" s="194" t="s">
        <v>276</v>
      </c>
      <c r="D100" s="156"/>
      <c r="E100" s="193"/>
      <c r="F100" s="202"/>
      <c r="G100" s="156"/>
      <c r="H100" s="156"/>
      <c r="I100" s="156"/>
      <c r="J100" s="156"/>
    </row>
    <row r="101" spans="1:10">
      <c r="A101" s="156" t="s">
        <v>686</v>
      </c>
      <c r="B101" s="198">
        <f xml:space="preserve"> B98 + B99 + D93</f>
        <v>130.19999999999999</v>
      </c>
      <c r="C101" s="194" t="s">
        <v>276</v>
      </c>
      <c r="D101" s="156"/>
      <c r="E101" s="193"/>
      <c r="F101" s="202"/>
      <c r="G101" s="156"/>
      <c r="H101" s="156"/>
      <c r="I101" s="156"/>
      <c r="J101" s="156"/>
    </row>
    <row r="102" spans="1:10">
      <c r="A102" s="156" t="s">
        <v>687</v>
      </c>
      <c r="B102" s="195">
        <f xml:space="preserve"> (B80 * B84) / (B80 + B101) * D91 * LOOKUP(B87, BatteryName, BatteryModifier)</f>
        <v>0</v>
      </c>
      <c r="C102" s="194" t="s">
        <v>773</v>
      </c>
      <c r="D102" s="156"/>
      <c r="E102" s="193"/>
      <c r="F102" s="202"/>
      <c r="G102" s="156"/>
      <c r="H102" s="156"/>
      <c r="I102" s="156"/>
      <c r="J102" s="156"/>
    </row>
    <row r="103" spans="1:10">
      <c r="A103" s="156" t="s">
        <v>689</v>
      </c>
      <c r="B103" s="198">
        <f xml:space="preserve"> IF(LOOKUP(B87, BatteryName, BatteryModifier) = 1, 0.5 * B101 * B102^2, (0.5 / B101) * (B101 * B102 * (1 - B93))^2)</f>
        <v>0</v>
      </c>
      <c r="C103" s="194" t="s">
        <v>745</v>
      </c>
      <c r="D103" s="156"/>
      <c r="I103" s="156"/>
      <c r="J103" s="156"/>
    </row>
    <row r="104" spans="1:10">
      <c r="A104" s="156" t="s">
        <v>690</v>
      </c>
      <c r="B104" s="198">
        <f xml:space="preserve"> IF(D91 &lt;= 1.5, 0, B103 * B93)</f>
        <v>0</v>
      </c>
      <c r="C104" s="194" t="s">
        <v>745</v>
      </c>
      <c r="D104" s="156"/>
      <c r="E104" s="156"/>
      <c r="F104" s="156"/>
      <c r="G104" s="156"/>
      <c r="H104" s="156"/>
      <c r="I104" s="156"/>
      <c r="J104" s="156"/>
    </row>
    <row r="105" spans="1:10">
      <c r="A105" s="156" t="s">
        <v>691</v>
      </c>
      <c r="B105" s="198">
        <f xml:space="preserve"> B103 - B104</f>
        <v>0</v>
      </c>
      <c r="C105" s="194" t="s">
        <v>745</v>
      </c>
      <c r="D105" s="156"/>
      <c r="E105" s="156"/>
      <c r="F105" s="156"/>
      <c r="G105" s="156"/>
      <c r="H105" s="156"/>
      <c r="I105" s="156"/>
      <c r="J105" s="156"/>
    </row>
    <row r="106" spans="1:10">
      <c r="A106" s="156" t="s">
        <v>692</v>
      </c>
      <c r="B106" s="198">
        <f xml:space="preserve"> IF( D90, ((B105 / (D92 + LOOKUP(B87, BatteryName, BatteryRecoil))) + H90) / 1000, (B105 / (D92 + LOOKUP(B87, BatteryName, BatteryRecoil))) / 1000)</f>
        <v>0</v>
      </c>
      <c r="C106" s="194" t="s">
        <v>693</v>
      </c>
      <c r="D106" s="156"/>
      <c r="E106" s="232" t="s">
        <v>905</v>
      </c>
      <c r="F106" s="156">
        <f xml:space="preserve"> (F98 / 100^3) + 'Turret Design'!C34 + ('Turret Design'!C1 * 0.5 / 1000)</f>
        <v>8.7499999999999994E-2</v>
      </c>
      <c r="G106" s="156" t="s">
        <v>255</v>
      </c>
      <c r="H106" s="156"/>
      <c r="I106" s="156"/>
      <c r="J106" s="156"/>
    </row>
    <row r="107" spans="1:10">
      <c r="A107" s="156" t="s">
        <v>694</v>
      </c>
      <c r="B107" s="198">
        <f xml:space="preserve"> B106 * 2</f>
        <v>0</v>
      </c>
      <c r="C107" s="194" t="s">
        <v>276</v>
      </c>
      <c r="D107" s="156"/>
      <c r="E107" s="232" t="s">
        <v>907</v>
      </c>
      <c r="F107" s="156">
        <f xml:space="preserve"> (F106 * B101) + (B107 * 0.5 * 'Turret Design'!C1 / 1000) + (('Turret Design'!L30 + 'Turret Design'!L52) * ('Turret Design'!C34 + ('Turret Design'!C1 * 0.5 / 1000)))</f>
        <v>83.126733024373763</v>
      </c>
      <c r="G107" s="156" t="s">
        <v>909</v>
      </c>
      <c r="H107" s="156"/>
      <c r="I107" s="156"/>
      <c r="J107" s="156"/>
    </row>
    <row r="108" spans="1:10">
      <c r="A108" s="156" t="s">
        <v>695</v>
      </c>
      <c r="B108" s="198">
        <f xml:space="preserve"> (B106 / 0.00683060109289618) / 1000^2</f>
        <v>0</v>
      </c>
      <c r="C108" s="194" t="s">
        <v>255</v>
      </c>
      <c r="D108" s="156"/>
      <c r="E108" s="232" t="s">
        <v>906</v>
      </c>
      <c r="F108" s="156">
        <f xml:space="preserve"> ('Turret Design'!C8 - 'Turret Design'!C10) - ('Turret Design'!C1 * 0.5 / 1000)</f>
        <v>1.1225000000000001</v>
      </c>
      <c r="G108" s="156" t="s">
        <v>255</v>
      </c>
      <c r="H108" s="156"/>
      <c r="I108" s="156"/>
      <c r="J108" s="156"/>
    </row>
    <row r="109" spans="1:10">
      <c r="A109" s="156" t="s">
        <v>911</v>
      </c>
      <c r="B109" s="233">
        <f xml:space="preserve"> IF(F107 - F109 &gt; 0, (F107 - F109) / 1000, 0)</f>
        <v>0</v>
      </c>
      <c r="C109" s="194" t="s">
        <v>840</v>
      </c>
      <c r="D109" s="156"/>
      <c r="E109" s="232" t="s">
        <v>908</v>
      </c>
      <c r="F109" s="156">
        <f xml:space="preserve"> 'Turret Design'!L106 * F108 + (B35 * 1000 * F108)</f>
        <v>911.07227463930394</v>
      </c>
      <c r="G109" s="156" t="s">
        <v>909</v>
      </c>
      <c r="H109" s="156"/>
      <c r="I109" s="156"/>
      <c r="J109" s="156"/>
    </row>
    <row r="110" spans="1:10">
      <c r="A110" s="156" t="s">
        <v>910</v>
      </c>
      <c r="B110" s="233">
        <f xml:space="preserve"> B109 * 1000^2 / (Lookup!B239 * 100^3)</f>
        <v>0</v>
      </c>
      <c r="C110" s="194" t="s">
        <v>255</v>
      </c>
      <c r="D110" s="156"/>
      <c r="E110" s="156"/>
      <c r="F110" s="156"/>
      <c r="G110" s="156"/>
      <c r="H110" s="156"/>
      <c r="I110" s="156"/>
      <c r="J110" s="156"/>
    </row>
    <row r="111" spans="1:10">
      <c r="A111" s="156" t="s">
        <v>980</v>
      </c>
      <c r="B111" s="233">
        <f xml:space="preserve"> LOOKUP(B89, AutoloaderName, AutoloaderVolume) * E111</f>
        <v>0</v>
      </c>
      <c r="C111" s="194" t="s">
        <v>255</v>
      </c>
      <c r="D111" s="156"/>
      <c r="E111" s="232">
        <f xml:space="preserve"> IF(B89 = "Manual", 0, ((C128 - MOD(C128, LOOKUP(B89, AutoloaderName, AutoloaderCapacity))) / LOOKUP(B89, AutoloaderName, AutoloaderCapacity)) + 1)</f>
        <v>0</v>
      </c>
      <c r="F111" s="156" t="s">
        <v>982</v>
      </c>
      <c r="G111" s="156"/>
      <c r="H111" s="156"/>
      <c r="I111" s="156"/>
      <c r="J111" s="156"/>
    </row>
    <row r="112" spans="1:10">
      <c r="A112" s="156" t="s">
        <v>981</v>
      </c>
      <c r="B112" s="233">
        <f xml:space="preserve"> LOOKUP(B89, AutoloaderName, AutoloaderWeight) * E111 / 1000</f>
        <v>0</v>
      </c>
      <c r="C112" s="194" t="s">
        <v>840</v>
      </c>
      <c r="D112" s="156"/>
      <c r="E112" s="232"/>
      <c r="F112" s="156"/>
      <c r="G112" s="156"/>
      <c r="H112" s="156"/>
      <c r="I112" s="156"/>
      <c r="J112" s="156"/>
    </row>
    <row r="113" spans="1:10">
      <c r="A113" s="156"/>
      <c r="B113" s="164"/>
      <c r="C113" s="156"/>
      <c r="D113" s="156"/>
      <c r="E113" s="156"/>
      <c r="F113" s="156"/>
      <c r="G113" s="156"/>
      <c r="H113" s="156"/>
      <c r="I113" s="156"/>
      <c r="J113" s="156"/>
    </row>
    <row r="114" spans="1:10">
      <c r="A114" s="156" t="s">
        <v>686</v>
      </c>
      <c r="B114" s="164">
        <f xml:space="preserve"> (B101 + B107) / 1000 * LOOKUP(B88, ChamberName, ChamberModifier)</f>
        <v>0.13019999999999998</v>
      </c>
      <c r="C114" s="156" t="s">
        <v>840</v>
      </c>
      <c r="D114" s="156"/>
      <c r="E114" s="156"/>
      <c r="F114" s="156"/>
      <c r="G114" s="156"/>
      <c r="H114" s="156"/>
      <c r="I114" s="156"/>
      <c r="J114" s="156"/>
    </row>
    <row r="115" spans="1:10">
      <c r="A115" s="156" t="s">
        <v>698</v>
      </c>
      <c r="B115" s="164">
        <f xml:space="preserve"> IF(D90, (LOOKUP(B76, BreechCaliber, BreechVolumeAuto) * LOOKUP(B85, SuperalloyName, SuperalloyRatio))  + (B108 * LOOKUP(B88, ChamberName, ChamberModifier)), (LOOKUP(B76, BreechCaliber, BreechVolumeSingle) * LOOKUP(B85, SuperalloyName, SuperalloyRatio)) + (B108 * LOOKUP(B88, ChamberName, ChamberModifier)))</f>
        <v>0.72</v>
      </c>
      <c r="C115" s="156" t="s">
        <v>255</v>
      </c>
      <c r="D115" s="156"/>
      <c r="E115" s="156"/>
      <c r="F115" s="156"/>
      <c r="G115" s="156"/>
      <c r="H115" s="156"/>
      <c r="I115" s="156"/>
      <c r="J115" s="156"/>
    </row>
    <row r="116" spans="1:10">
      <c r="A116" s="156"/>
      <c r="B116" s="164"/>
      <c r="C116" s="156"/>
      <c r="D116" s="156"/>
      <c r="E116" s="156"/>
      <c r="F116" s="156"/>
      <c r="G116" s="156"/>
      <c r="H116" s="156"/>
      <c r="I116" s="156"/>
      <c r="J116" s="156"/>
    </row>
    <row r="117" spans="1:10">
      <c r="A117" s="156"/>
      <c r="B117" s="200" t="s">
        <v>22</v>
      </c>
      <c r="C117" s="193" t="s">
        <v>21</v>
      </c>
      <c r="D117" s="205"/>
      <c r="E117" s="156"/>
      <c r="F117" s="156"/>
      <c r="G117" s="156"/>
      <c r="H117" s="156"/>
      <c r="I117" s="156"/>
      <c r="J117" s="156"/>
    </row>
    <row r="118" spans="1:10">
      <c r="A118" s="156" t="s">
        <v>701</v>
      </c>
      <c r="B118" s="198">
        <f xml:space="preserve"> B75 * B114</f>
        <v>0</v>
      </c>
      <c r="C118" s="198">
        <f xml:space="preserve"> C75 * B114</f>
        <v>0</v>
      </c>
      <c r="D118" s="156" t="s">
        <v>840</v>
      </c>
      <c r="E118" s="156"/>
      <c r="F118" s="156"/>
      <c r="G118" s="156"/>
      <c r="H118" s="156"/>
      <c r="I118" s="156"/>
      <c r="J118" s="156"/>
    </row>
    <row r="119" spans="1:10">
      <c r="A119" s="156" t="s">
        <v>702</v>
      </c>
      <c r="B119" s="198">
        <f xml:space="preserve"> B75 * B115</f>
        <v>0</v>
      </c>
      <c r="C119" s="198">
        <f xml:space="preserve"> C75 * B115</f>
        <v>0</v>
      </c>
      <c r="D119" s="156" t="s">
        <v>255</v>
      </c>
      <c r="E119" s="156"/>
      <c r="F119" s="156"/>
      <c r="G119" s="156"/>
    </row>
    <row r="120" spans="1:10">
      <c r="A120" s="156"/>
      <c r="B120" s="198"/>
      <c r="C120" s="198"/>
      <c r="D120" s="156"/>
      <c r="E120" s="156"/>
      <c r="F120" s="156"/>
      <c r="G120" s="156"/>
    </row>
    <row r="121" spans="1:10">
      <c r="A121" s="154" t="s">
        <v>703</v>
      </c>
      <c r="B121" s="82">
        <v>0</v>
      </c>
      <c r="C121" s="154" t="s">
        <v>704</v>
      </c>
      <c r="D121" s="196">
        <f xml:space="preserve"> B121 * F90</f>
        <v>0</v>
      </c>
      <c r="E121" s="156" t="s">
        <v>705</v>
      </c>
      <c r="F121" s="156"/>
      <c r="G121" s="156"/>
    </row>
    <row r="122" spans="1:10">
      <c r="A122" s="156"/>
      <c r="B122" s="164"/>
      <c r="C122" s="156"/>
      <c r="D122" s="156"/>
      <c r="E122" s="156"/>
      <c r="F122" s="156"/>
      <c r="G122" s="156"/>
    </row>
    <row r="123" spans="1:10">
      <c r="A123" s="154"/>
      <c r="B123" s="200" t="s">
        <v>22</v>
      </c>
      <c r="C123" s="193" t="s">
        <v>21</v>
      </c>
      <c r="D123" s="194" t="s">
        <v>248</v>
      </c>
      <c r="E123" s="156"/>
      <c r="F123" s="156"/>
      <c r="G123" s="156"/>
    </row>
    <row r="124" spans="1:10">
      <c r="A124" s="154" t="s">
        <v>706</v>
      </c>
      <c r="B124" s="82">
        <v>0</v>
      </c>
      <c r="C124" s="56">
        <v>0</v>
      </c>
      <c r="D124" s="198">
        <f xml:space="preserve"> B124 + C124</f>
        <v>0</v>
      </c>
      <c r="E124" s="157" t="s">
        <v>653</v>
      </c>
      <c r="F124" s="156"/>
      <c r="G124" s="156"/>
    </row>
    <row r="125" spans="1:10">
      <c r="A125" s="154" t="s">
        <v>896</v>
      </c>
      <c r="B125" s="82">
        <v>0</v>
      </c>
      <c r="C125" s="56">
        <v>0</v>
      </c>
      <c r="D125" s="233">
        <f xml:space="preserve"> B125 + C125</f>
        <v>0</v>
      </c>
      <c r="E125" s="157" t="s">
        <v>653</v>
      </c>
      <c r="F125" s="156"/>
      <c r="G125" s="156"/>
    </row>
    <row r="126" spans="1:10">
      <c r="A126" s="154"/>
      <c r="B126" s="164">
        <f xml:space="preserve"> SUM(B124:B125)</f>
        <v>0</v>
      </c>
      <c r="C126" s="156">
        <f xml:space="preserve"> SUM(C124:C125)</f>
        <v>0</v>
      </c>
      <c r="D126" s="233">
        <f xml:space="preserve"> SUM(D124:D125)</f>
        <v>0</v>
      </c>
      <c r="E126" s="157" t="s">
        <v>897</v>
      </c>
      <c r="F126" s="156"/>
      <c r="G126" s="156"/>
    </row>
    <row r="127" spans="1:10">
      <c r="A127" s="154"/>
      <c r="B127" s="164"/>
      <c r="C127" s="156"/>
      <c r="D127" s="192"/>
      <c r="E127" s="157"/>
      <c r="F127" s="156"/>
      <c r="G127" s="156"/>
    </row>
    <row r="128" spans="1:10">
      <c r="A128" s="154" t="s">
        <v>707</v>
      </c>
      <c r="B128" s="191" t="s">
        <v>480</v>
      </c>
      <c r="C128" s="156"/>
      <c r="D128" s="192"/>
      <c r="E128" s="157"/>
      <c r="F128" s="156"/>
      <c r="G128" s="156"/>
    </row>
    <row r="129" spans="1:10">
      <c r="A129" s="154" t="s">
        <v>708</v>
      </c>
      <c r="B129" s="191" t="s">
        <v>357</v>
      </c>
      <c r="C129" s="156"/>
      <c r="D129" s="192"/>
      <c r="E129" s="157"/>
      <c r="F129" s="156"/>
      <c r="G129" s="156"/>
    </row>
    <row r="130" spans="1:10">
      <c r="A130" s="156"/>
      <c r="B130" s="164"/>
      <c r="C130" s="156"/>
      <c r="D130" s="192"/>
      <c r="E130" s="157"/>
      <c r="F130" s="156"/>
      <c r="G130" s="156"/>
    </row>
    <row r="131" spans="1:10">
      <c r="A131" s="156" t="s">
        <v>665</v>
      </c>
      <c r="B131" s="164">
        <f xml:space="preserve"> B80</f>
        <v>0</v>
      </c>
      <c r="C131" s="156" t="s">
        <v>276</v>
      </c>
      <c r="D131" s="192"/>
      <c r="E131" s="148" t="s">
        <v>894</v>
      </c>
      <c r="F131" s="164">
        <f xml:space="preserve"> B82</f>
        <v>75</v>
      </c>
      <c r="G131" s="156" t="s">
        <v>276</v>
      </c>
    </row>
    <row r="132" spans="1:10">
      <c r="A132" s="156" t="s">
        <v>709</v>
      </c>
      <c r="B132" s="164">
        <f xml:space="preserve"> J84 / LOOKUP(B91, PropellantName, PropellantEnergyDensity) / 1000</f>
        <v>0</v>
      </c>
      <c r="C132" s="156" t="s">
        <v>276</v>
      </c>
      <c r="D132" s="156"/>
      <c r="E132" s="157" t="s">
        <v>898</v>
      </c>
      <c r="F132" s="164">
        <f xml:space="preserve"> F131 + SUM(B132:B133)</f>
        <v>75</v>
      </c>
      <c r="G132" s="156" t="s">
        <v>276</v>
      </c>
    </row>
    <row r="133" spans="1:10">
      <c r="A133" s="156" t="s">
        <v>710</v>
      </c>
      <c r="B133" s="164">
        <f xml:space="preserve"> F134 * LOOKUP(B129, CartridgeMaterialName, CartridgeMaterialDensity) / 1000</f>
        <v>0</v>
      </c>
      <c r="C133" s="156" t="s">
        <v>276</v>
      </c>
      <c r="D133" s="156"/>
      <c r="E133" s="156"/>
      <c r="F133" s="156"/>
      <c r="G133" s="156"/>
    </row>
    <row r="134" spans="1:10">
      <c r="A134" s="156" t="s">
        <v>711</v>
      </c>
      <c r="B134" s="164">
        <f xml:space="preserve"> SUM(B131:B133)</f>
        <v>0</v>
      </c>
      <c r="C134" s="156" t="s">
        <v>276</v>
      </c>
      <c r="D134" s="192">
        <f xml:space="preserve"> LOOKUP(B129, CartridgeMaterialName, CartridgeMaterialDensity)</f>
        <v>1.8</v>
      </c>
      <c r="E134" s="157"/>
      <c r="F134" s="156">
        <f xml:space="preserve"> F135 * 0.5</f>
        <v>0</v>
      </c>
      <c r="G134" s="156" t="s">
        <v>712</v>
      </c>
    </row>
    <row r="135" spans="1:10">
      <c r="A135" s="154"/>
      <c r="B135" s="164"/>
      <c r="C135" s="156"/>
      <c r="D135" s="192"/>
      <c r="E135" s="157"/>
      <c r="F135" s="156">
        <f xml:space="preserve"> 2 * F136 * PI() * F137</f>
        <v>0</v>
      </c>
      <c r="G135" s="156" t="s">
        <v>713</v>
      </c>
    </row>
    <row r="136" spans="1:10">
      <c r="A136" s="157" t="s">
        <v>714</v>
      </c>
      <c r="B136" s="164">
        <f xml:space="preserve"> B76  / LOOKUP(B128, CartridgeName, CartridgeWidth)</f>
        <v>120</v>
      </c>
      <c r="C136" s="157" t="s">
        <v>241</v>
      </c>
      <c r="D136" s="156">
        <f xml:space="preserve"> (B136 / 20)^2 * PI()</f>
        <v>113.09733552923255</v>
      </c>
      <c r="E136" s="156" t="s">
        <v>558</v>
      </c>
      <c r="F136" s="156">
        <f xml:space="preserve"> B136 / 20</f>
        <v>6</v>
      </c>
      <c r="G136" s="156" t="s">
        <v>715</v>
      </c>
    </row>
    <row r="137" spans="1:10">
      <c r="A137" s="157" t="s">
        <v>716</v>
      </c>
      <c r="B137" s="164">
        <f xml:space="preserve"> B76 * LOOKUP(B128, CartridgeName, CartridgeLength)</f>
        <v>432</v>
      </c>
      <c r="C137" s="157" t="s">
        <v>241</v>
      </c>
      <c r="D137" s="156"/>
      <c r="E137" s="156"/>
      <c r="F137" s="156">
        <f xml:space="preserve"> B138 / 10</f>
        <v>0</v>
      </c>
      <c r="G137" s="156" t="s">
        <v>717</v>
      </c>
      <c r="H137" s="156"/>
      <c r="I137" s="156"/>
      <c r="J137" s="156"/>
    </row>
    <row r="138" spans="1:10">
      <c r="A138" s="157" t="s">
        <v>718</v>
      </c>
      <c r="B138" s="164">
        <f xml:space="preserve"> IF(B128="liquid/railgun round",0, (D138 / D136) * 10)</f>
        <v>0</v>
      </c>
      <c r="C138" s="157" t="s">
        <v>241</v>
      </c>
      <c r="D138" s="156">
        <f xml:space="preserve"> D84 * 1000^2 / LOOKUP(B91, PropellantName, PropellantEnergyVolume)</f>
        <v>0</v>
      </c>
      <c r="E138" s="156" t="s">
        <v>719</v>
      </c>
      <c r="F138" s="156"/>
      <c r="G138" s="156"/>
      <c r="H138" s="156"/>
      <c r="I138" s="156"/>
      <c r="J138" s="156"/>
    </row>
    <row r="139" spans="1:10">
      <c r="A139" s="157" t="s">
        <v>720</v>
      </c>
      <c r="B139" s="164">
        <f xml:space="preserve"> B137 + B138</f>
        <v>432</v>
      </c>
      <c r="C139" s="157" t="s">
        <v>241</v>
      </c>
      <c r="D139" s="156"/>
      <c r="E139" s="156"/>
      <c r="F139" s="156"/>
      <c r="G139" s="156"/>
      <c r="H139" s="156"/>
      <c r="I139" s="156"/>
      <c r="J139" s="156"/>
    </row>
    <row r="140" spans="1:10">
      <c r="A140" s="157" t="s">
        <v>721</v>
      </c>
      <c r="B140" s="164">
        <f xml:space="preserve"> (B136 / 2000)^2 * PI() * (B139 / 1000)</f>
        <v>4.8858048948628458E-3</v>
      </c>
      <c r="C140" s="156" t="s">
        <v>255</v>
      </c>
      <c r="D140" s="156"/>
      <c r="E140" s="156"/>
      <c r="F140" s="156"/>
      <c r="G140" s="156"/>
      <c r="H140" s="156"/>
      <c r="I140" s="156"/>
      <c r="J140" s="156"/>
    </row>
    <row r="141" spans="1:10">
      <c r="A141" s="156"/>
      <c r="B141" s="164"/>
      <c r="C141" s="156"/>
      <c r="D141" s="156"/>
      <c r="E141" s="156"/>
      <c r="F141" s="156"/>
      <c r="G141" s="156"/>
      <c r="H141" s="156"/>
      <c r="I141" s="156"/>
      <c r="J141" s="156"/>
    </row>
    <row r="142" spans="1:10">
      <c r="A142" s="156"/>
      <c r="B142" s="200" t="s">
        <v>22</v>
      </c>
      <c r="C142" s="193" t="s">
        <v>21</v>
      </c>
      <c r="D142" s="156"/>
      <c r="E142" s="192"/>
      <c r="F142" s="192"/>
      <c r="G142" s="156"/>
      <c r="H142" s="156"/>
      <c r="I142" s="156"/>
      <c r="J142" s="156"/>
    </row>
    <row r="143" spans="1:10">
      <c r="A143" s="156" t="s">
        <v>722</v>
      </c>
      <c r="B143" s="198">
        <f xml:space="preserve"> (B124 * B140 * 2.5) + (B125 * B140 * 2.5)</f>
        <v>0</v>
      </c>
      <c r="C143" s="192">
        <f xml:space="preserve"> (C124 * B140 * 2.5) + (C125 * B140 * 2.5)</f>
        <v>0</v>
      </c>
      <c r="D143" s="156" t="s">
        <v>255</v>
      </c>
      <c r="E143" s="156"/>
      <c r="F143" s="156"/>
      <c r="G143" s="156"/>
      <c r="H143" s="156"/>
      <c r="I143" s="156"/>
      <c r="J143" s="156"/>
    </row>
    <row r="144" spans="1:10">
      <c r="A144" s="156" t="s">
        <v>723</v>
      </c>
      <c r="B144" s="198">
        <f xml:space="preserve"> (B134 * B124 / 1000) + (F132 * B125 / 1000)</f>
        <v>0</v>
      </c>
      <c r="C144" s="192">
        <f xml:space="preserve"> (C124 * B134 / 1000) + (C125 * F132 / 1000)</f>
        <v>0</v>
      </c>
      <c r="D144" s="156" t="s">
        <v>840</v>
      </c>
      <c r="E144" s="156"/>
      <c r="F144" s="156"/>
      <c r="G144" s="156"/>
      <c r="H144" s="156"/>
      <c r="I144" s="156"/>
      <c r="J144" s="156"/>
    </row>
  </sheetData>
  <mergeCells count="1">
    <mergeCell ref="F7:H7"/>
  </mergeCells>
  <dataValidations count="7">
    <dataValidation type="list" allowBlank="1" showInputMessage="1" showErrorMessage="1" sqref="B85 B13">
      <formula1>SuperalloyName</formula1>
    </dataValidation>
    <dataValidation type="list" allowBlank="1" showInputMessage="1" showErrorMessage="1" sqref="B87 B15">
      <formula1>BatteryName</formula1>
    </dataValidation>
    <dataValidation type="list" allowBlank="1" showInputMessage="1" showErrorMessage="1" sqref="B88 B16">
      <formula1 xml:space="preserve"> ChamberName</formula1>
    </dataValidation>
    <dataValidation type="list" allowBlank="1" showInputMessage="1" showErrorMessage="1" sqref="B91 B19">
      <formula1 xml:space="preserve"> PropellantName</formula1>
    </dataValidation>
    <dataValidation type="list" allowBlank="1" showInputMessage="1" showErrorMessage="1" sqref="B54 B128">
      <formula1 xml:space="preserve"> CartridgeName</formula1>
    </dataValidation>
    <dataValidation type="list" allowBlank="1" showInputMessage="1" showErrorMessage="1" sqref="B55 B129">
      <formula1 xml:space="preserve"> CartridgeMaterialName</formula1>
    </dataValidation>
    <dataValidation type="list" allowBlank="1" showInputMessage="1" showErrorMessage="1" sqref="B89 B17">
      <formula1 xml:space="preserve"> AutoloaderName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D7" sqref="D7"/>
    </sheetView>
  </sheetViews>
  <sheetFormatPr defaultRowHeight="15"/>
  <cols>
    <col min="1" max="1" width="50" customWidth="1"/>
    <col min="2" max="2" width="11.42578125" customWidth="1"/>
    <col min="3" max="3" width="18.5703125" customWidth="1"/>
    <col min="4" max="4" width="5" customWidth="1"/>
    <col min="5" max="6" width="14.28515625" customWidth="1"/>
  </cols>
  <sheetData>
    <row r="1" spans="1:5" ht="16.5">
      <c r="A1" s="214" t="s">
        <v>749</v>
      </c>
      <c r="B1" s="210"/>
      <c r="C1" s="210"/>
      <c r="D1" s="210"/>
      <c r="E1" s="210"/>
    </row>
    <row r="3" spans="1:5">
      <c r="A3" s="213" t="s">
        <v>750</v>
      </c>
      <c r="B3" s="215">
        <f xml:space="preserve"> 'Turret Design'!C166</f>
        <v>4.3049970118494141</v>
      </c>
      <c r="C3" s="210" t="s">
        <v>255</v>
      </c>
      <c r="D3" s="215">
        <f>B3 / 1000</f>
        <v>4.3049970118494143E-3</v>
      </c>
      <c r="E3" s="210" t="s">
        <v>846</v>
      </c>
    </row>
    <row r="4" spans="1:5">
      <c r="A4" s="213" t="s">
        <v>751</v>
      </c>
      <c r="B4" s="215">
        <f xml:space="preserve"> 'Hull Design'!C283 - 'Hull Design'!C285 - 'Hull Design'!C286 - 'Hull Design'!C287</f>
        <v>10.813551371117377</v>
      </c>
      <c r="C4" s="210" t="s">
        <v>255</v>
      </c>
      <c r="D4" s="215">
        <f xml:space="preserve"> B4 / 1000</f>
        <v>1.0813551371117378E-2</v>
      </c>
      <c r="E4" s="210" t="s">
        <v>846</v>
      </c>
    </row>
    <row r="5" spans="1:5">
      <c r="A5" s="213" t="s">
        <v>752</v>
      </c>
      <c r="B5" s="215">
        <f xml:space="preserve"> SUM(B3:B4)</f>
        <v>15.118548382966791</v>
      </c>
      <c r="C5" s="210" t="s">
        <v>255</v>
      </c>
      <c r="D5" s="215">
        <f xml:space="preserve"> SUM(D3:D4)</f>
        <v>1.5118548382966793E-2</v>
      </c>
      <c r="E5" s="210" t="s">
        <v>846</v>
      </c>
    </row>
    <row r="7" spans="1:5">
      <c r="A7" s="212" t="s">
        <v>753</v>
      </c>
      <c r="B7" s="218">
        <v>12</v>
      </c>
      <c r="C7" s="211" t="s">
        <v>754</v>
      </c>
      <c r="D7" s="215">
        <f xml:space="preserve"> D5 * B7</f>
        <v>0.18142258059560151</v>
      </c>
      <c r="E7" s="210" t="s">
        <v>863</v>
      </c>
    </row>
    <row r="8" spans="1:5">
      <c r="A8" s="213"/>
      <c r="B8" s="210"/>
      <c r="C8" s="210"/>
      <c r="D8" s="210"/>
      <c r="E8" s="210"/>
    </row>
    <row r="9" spans="1:5">
      <c r="A9" s="213" t="s">
        <v>755</v>
      </c>
      <c r="B9" s="215">
        <f xml:space="preserve"> D7 / 3600</f>
        <v>5.0395161276555974E-5</v>
      </c>
      <c r="C9" s="210" t="s">
        <v>862</v>
      </c>
      <c r="D9" s="210"/>
      <c r="E9" s="210"/>
    </row>
    <row r="10" spans="1:5">
      <c r="A10" s="213" t="s">
        <v>756</v>
      </c>
      <c r="B10" s="215">
        <f xml:space="preserve"> B9 * 1731945.6</f>
        <v>87.281677834221512</v>
      </c>
      <c r="C10" s="210" t="s">
        <v>862</v>
      </c>
      <c r="D10" s="210"/>
      <c r="E10" s="210"/>
    </row>
    <row r="12" spans="1:5">
      <c r="A12" s="210" t="s">
        <v>757</v>
      </c>
      <c r="B12" s="218">
        <v>343</v>
      </c>
      <c r="C12" s="210" t="s">
        <v>861</v>
      </c>
      <c r="D12" s="210"/>
      <c r="E12" s="210"/>
    </row>
    <row r="13" spans="1:5">
      <c r="A13" s="210" t="s">
        <v>758</v>
      </c>
      <c r="B13" s="218">
        <v>0.95</v>
      </c>
      <c r="C13" s="210" t="s">
        <v>860</v>
      </c>
      <c r="D13" s="210"/>
      <c r="E13" s="210"/>
    </row>
    <row r="15" spans="1:5">
      <c r="A15" s="210" t="s">
        <v>759</v>
      </c>
      <c r="B15" s="215">
        <f xml:space="preserve"> B10 / B12</f>
        <v>0.25446553304437758</v>
      </c>
      <c r="C15" s="210" t="s">
        <v>255</v>
      </c>
      <c r="D15" s="210"/>
      <c r="E15" s="210"/>
    </row>
    <row r="16" spans="1:5">
      <c r="A16" s="210" t="s">
        <v>760</v>
      </c>
      <c r="B16" s="215">
        <f xml:space="preserve"> B10 / B13</f>
        <v>91.87545035181212</v>
      </c>
      <c r="C16" s="210" t="s">
        <v>276</v>
      </c>
      <c r="D16" s="210"/>
      <c r="E16" s="210"/>
    </row>
    <row r="18" spans="1:3">
      <c r="A18" s="212" t="s">
        <v>761</v>
      </c>
      <c r="B18" s="216" t="b">
        <v>0</v>
      </c>
      <c r="C18" s="210"/>
    </row>
    <row r="19" spans="1:3">
      <c r="A19" s="213" t="s">
        <v>762</v>
      </c>
      <c r="B19" s="215">
        <f xml:space="preserve"> IF(B18,  0.07, 0)</f>
        <v>0</v>
      </c>
      <c r="C19" s="210" t="s">
        <v>255</v>
      </c>
    </row>
    <row r="20" spans="1:3">
      <c r="A20" s="213" t="s">
        <v>763</v>
      </c>
      <c r="B20" s="215">
        <f xml:space="preserve"> IF( B18, 7.2, 0)</f>
        <v>0</v>
      </c>
      <c r="C20" s="210" t="s">
        <v>276</v>
      </c>
    </row>
    <row r="21" spans="1:3">
      <c r="A21" s="212" t="s">
        <v>764</v>
      </c>
      <c r="B21" s="216" t="b">
        <v>0</v>
      </c>
      <c r="C21" s="210"/>
    </row>
    <row r="22" spans="1:3">
      <c r="A22" s="213" t="s">
        <v>775</v>
      </c>
      <c r="B22" s="215">
        <f xml:space="preserve"> IF(B21, 'Hull Design'!C272 * B19, B19)</f>
        <v>0</v>
      </c>
      <c r="C22" s="210" t="s">
        <v>255</v>
      </c>
    </row>
    <row r="23" spans="1:3">
      <c r="A23" s="213" t="s">
        <v>774</v>
      </c>
      <c r="B23" s="215">
        <f xml:space="preserve"> IF(B21, 'Turret Design'!C159 * B19, B19)</f>
        <v>0</v>
      </c>
      <c r="C23" s="210" t="s">
        <v>255</v>
      </c>
    </row>
    <row r="24" spans="1:3">
      <c r="A24" s="213" t="s">
        <v>765</v>
      </c>
      <c r="B24" s="215">
        <f xml:space="preserve"> 'Print Sheet'!B8 * B20</f>
        <v>0</v>
      </c>
      <c r="C24" s="210" t="s">
        <v>276</v>
      </c>
    </row>
    <row r="26" spans="1:3">
      <c r="A26" s="212" t="s">
        <v>766</v>
      </c>
      <c r="B26" s="216" t="b">
        <v>0</v>
      </c>
      <c r="C26" s="210"/>
    </row>
    <row r="27" spans="1:3">
      <c r="A27" s="213" t="s">
        <v>767</v>
      </c>
      <c r="B27" s="217">
        <f xml:space="preserve"> IF(B26, 'Print Sheet'!B8 * 12.73 * 7, 'Print Sheet'!B8 * 3.2 * 7)</f>
        <v>89.600000000000009</v>
      </c>
      <c r="C27" s="210" t="s">
        <v>276</v>
      </c>
    </row>
    <row r="29" spans="1:3">
      <c r="A29" s="212" t="s">
        <v>768</v>
      </c>
      <c r="B29" s="218">
        <v>0</v>
      </c>
      <c r="C29" s="210"/>
    </row>
    <row r="30" spans="1:3">
      <c r="A30" s="213" t="s">
        <v>769</v>
      </c>
      <c r="B30" s="219">
        <f xml:space="preserve"> B29 * 180</f>
        <v>0</v>
      </c>
      <c r="C30" s="210" t="s">
        <v>276</v>
      </c>
    </row>
    <row r="31" spans="1:3">
      <c r="A31" s="213"/>
      <c r="B31" s="219"/>
      <c r="C31" s="210"/>
    </row>
    <row r="32" spans="1:3">
      <c r="A32" s="210" t="s">
        <v>770</v>
      </c>
      <c r="B32" s="215">
        <f xml:space="preserve"> B15 + B22 + B23</f>
        <v>0.25446553304437758</v>
      </c>
      <c r="C32" s="210" t="s">
        <v>255</v>
      </c>
    </row>
    <row r="33" spans="1:3">
      <c r="A33" s="210" t="s">
        <v>771</v>
      </c>
      <c r="B33" s="215">
        <f xml:space="preserve"> (B16 + B24 + B27 + B30) / 1000</f>
        <v>0.18147545035181212</v>
      </c>
      <c r="C33" s="210" t="s">
        <v>840</v>
      </c>
    </row>
  </sheetData>
  <dataValidations count="1">
    <dataValidation type="list" allowBlank="1" showInputMessage="1" showErrorMessage="1" sqref="B21 B18 B26">
      <formula1>"TRUE, FALSE"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8"/>
  <sheetViews>
    <sheetView workbookViewId="0">
      <selection activeCell="C35" sqref="C35"/>
    </sheetView>
  </sheetViews>
  <sheetFormatPr defaultRowHeight="15"/>
  <cols>
    <col min="1" max="1" width="20.7109375" customWidth="1"/>
    <col min="2" max="2" width="34.28515625" customWidth="1"/>
    <col min="3" max="3" width="50" customWidth="1"/>
    <col min="4" max="4" width="12.85546875" customWidth="1"/>
    <col min="5" max="5" width="18.5703125" customWidth="1"/>
    <col min="6" max="7" width="14.28515625" customWidth="1"/>
  </cols>
  <sheetData>
    <row r="1" spans="1:7" ht="15.75">
      <c r="A1" s="235" t="s">
        <v>781</v>
      </c>
      <c r="B1" s="224"/>
      <c r="C1" s="224"/>
      <c r="D1" s="224"/>
      <c r="E1" s="224"/>
      <c r="F1" s="224"/>
      <c r="G1" s="224"/>
    </row>
    <row r="2" spans="1:7">
      <c r="A2" s="224"/>
      <c r="B2" s="232" t="s">
        <v>782</v>
      </c>
      <c r="C2" s="237">
        <v>14.677476185567425</v>
      </c>
      <c r="D2" s="237" t="s">
        <v>840</v>
      </c>
      <c r="E2" s="224"/>
      <c r="F2" s="224"/>
      <c r="G2" s="224"/>
    </row>
    <row r="3" spans="1:7">
      <c r="A3" s="224"/>
      <c r="B3" s="230" t="s">
        <v>783</v>
      </c>
      <c r="C3" s="222">
        <v>30</v>
      </c>
      <c r="D3" s="239" t="s">
        <v>840</v>
      </c>
      <c r="E3" s="224"/>
      <c r="F3" s="224"/>
      <c r="G3" s="224"/>
    </row>
    <row r="4" spans="1:7">
      <c r="A4" s="224"/>
      <c r="B4" s="230" t="s">
        <v>784</v>
      </c>
      <c r="C4" s="222">
        <v>25</v>
      </c>
      <c r="D4" s="239" t="s">
        <v>844</v>
      </c>
      <c r="E4" s="224"/>
      <c r="F4" s="224"/>
      <c r="G4" s="224"/>
    </row>
    <row r="5" spans="1:7">
      <c r="A5" s="224"/>
      <c r="B5" s="232" t="s">
        <v>785</v>
      </c>
      <c r="C5" s="237">
        <f>C3 * C4</f>
        <v>750</v>
      </c>
      <c r="D5" s="237" t="s">
        <v>830</v>
      </c>
      <c r="E5" s="224"/>
      <c r="F5" s="224"/>
      <c r="G5" s="224"/>
    </row>
    <row r="6" spans="1:7">
      <c r="A6" s="224"/>
      <c r="B6" s="232"/>
      <c r="C6" s="224"/>
      <c r="D6" s="224"/>
      <c r="E6" s="224"/>
      <c r="F6" s="224"/>
      <c r="G6" s="224"/>
    </row>
    <row r="7" spans="1:7">
      <c r="A7" s="224"/>
      <c r="B7" s="229" t="s">
        <v>786</v>
      </c>
      <c r="C7" s="240" t="s">
        <v>787</v>
      </c>
      <c r="D7" s="233" t="s">
        <v>360</v>
      </c>
      <c r="E7" s="233" t="s">
        <v>788</v>
      </c>
      <c r="F7" s="233" t="s">
        <v>789</v>
      </c>
      <c r="G7" s="233" t="s">
        <v>790</v>
      </c>
    </row>
    <row r="8" spans="1:7">
      <c r="A8" s="226" t="s">
        <v>791</v>
      </c>
      <c r="B8" s="223">
        <v>410</v>
      </c>
      <c r="C8" s="82" t="s">
        <v>972</v>
      </c>
      <c r="D8" s="233">
        <f xml:space="preserve"> LOOKUP(C8, EngineName, EngineWeight)</f>
        <v>2.0213730540000001</v>
      </c>
      <c r="E8" s="233">
        <f xml:space="preserve"> LOOKUP(C8, EngineName, EngineVolume)</f>
        <v>261.96010289999998</v>
      </c>
      <c r="F8" s="233">
        <f xml:space="preserve"> LOOKUP(C8, EngineName, EngineFuel)</f>
        <v>230.40278939999999</v>
      </c>
      <c r="G8" s="233">
        <f xml:space="preserve"> B8 * 0.73549875</f>
        <v>301.55448749999999</v>
      </c>
    </row>
    <row r="9" spans="1:7">
      <c r="A9" s="226"/>
      <c r="B9" s="232" t="s">
        <v>792</v>
      </c>
      <c r="C9" s="233">
        <f xml:space="preserve"> G8 * D8</f>
        <v>609.5541153452798</v>
      </c>
      <c r="D9" s="243" t="s">
        <v>276</v>
      </c>
      <c r="E9" s="233"/>
      <c r="F9" s="233"/>
      <c r="G9" s="233"/>
    </row>
    <row r="10" spans="1:7">
      <c r="A10" s="226"/>
      <c r="B10" s="232" t="s">
        <v>793</v>
      </c>
      <c r="C10" s="233">
        <f xml:space="preserve"> G8 / E8</f>
        <v>1.1511466218010866</v>
      </c>
      <c r="D10" s="243" t="s">
        <v>255</v>
      </c>
      <c r="E10" s="233"/>
      <c r="F10" s="233"/>
      <c r="G10" s="233"/>
    </row>
    <row r="11" spans="1:7">
      <c r="A11" s="226"/>
      <c r="B11" s="232" t="s">
        <v>891</v>
      </c>
      <c r="C11" s="233">
        <f xml:space="preserve"> LOOKUP(C8, EngineName, EngineGrossOutput) / LOOKUP(C8, EngineName, EngineCylinderNumber)</f>
        <v>64.166666666666671</v>
      </c>
      <c r="D11" s="243" t="s">
        <v>830</v>
      </c>
      <c r="E11" s="233"/>
      <c r="F11" s="233"/>
      <c r="G11" s="233"/>
    </row>
    <row r="12" spans="1:7">
      <c r="A12" s="226"/>
      <c r="B12" s="224"/>
      <c r="C12" s="233"/>
      <c r="D12" s="233"/>
      <c r="E12" s="233"/>
      <c r="F12" s="233"/>
      <c r="G12" s="233"/>
    </row>
    <row r="13" spans="1:7">
      <c r="A13" s="224"/>
      <c r="B13" s="229" t="s">
        <v>794</v>
      </c>
      <c r="C13" s="233"/>
      <c r="D13" s="233" t="s">
        <v>360</v>
      </c>
      <c r="E13" s="233" t="s">
        <v>788</v>
      </c>
      <c r="F13" s="233" t="s">
        <v>789</v>
      </c>
      <c r="G13" s="233" t="s">
        <v>790</v>
      </c>
    </row>
    <row r="14" spans="1:7">
      <c r="A14" s="226" t="s">
        <v>795</v>
      </c>
      <c r="B14" s="223">
        <v>0</v>
      </c>
      <c r="C14" s="82" t="s">
        <v>421</v>
      </c>
      <c r="D14" s="233">
        <f xml:space="preserve"> LOOKUP(C14, EngineName, EngineWeight)</f>
        <v>2.86</v>
      </c>
      <c r="E14" s="233">
        <f xml:space="preserve"> LOOKUP(C14, EngineName, EngineVolume)</f>
        <v>280.27999999999997</v>
      </c>
      <c r="F14" s="233">
        <f xml:space="preserve"> LOOKUP(C14, EngineName, EngineFuel)</f>
        <v>159.44</v>
      </c>
      <c r="G14" s="233">
        <f xml:space="preserve"> B14 * 0.73549875</f>
        <v>0</v>
      </c>
    </row>
    <row r="15" spans="1:7">
      <c r="A15" s="226"/>
      <c r="B15" s="232" t="s">
        <v>792</v>
      </c>
      <c r="C15" s="233">
        <f xml:space="preserve"> G14 * D14</f>
        <v>0</v>
      </c>
      <c r="D15" s="243" t="s">
        <v>360</v>
      </c>
      <c r="E15" s="233"/>
      <c r="F15" s="233"/>
      <c r="G15" s="233"/>
    </row>
    <row r="16" spans="1:7">
      <c r="A16" s="226"/>
      <c r="B16" s="232" t="s">
        <v>793</v>
      </c>
      <c r="C16" s="233">
        <f xml:space="preserve"> G14 / E14</f>
        <v>0</v>
      </c>
      <c r="D16" s="243" t="s">
        <v>255</v>
      </c>
      <c r="E16" s="233"/>
      <c r="F16" s="233"/>
      <c r="G16" s="233"/>
    </row>
    <row r="17" spans="1:6">
      <c r="A17" s="224"/>
      <c r="B17" s="232"/>
      <c r="C17" s="224"/>
      <c r="D17" s="224"/>
      <c r="E17" s="224"/>
      <c r="F17" s="224"/>
    </row>
    <row r="18" spans="1:6">
      <c r="A18" s="224"/>
      <c r="B18" s="229" t="s">
        <v>796</v>
      </c>
      <c r="C18" s="240" t="s">
        <v>441</v>
      </c>
      <c r="D18" s="231" t="s">
        <v>276</v>
      </c>
      <c r="E18" s="231" t="s">
        <v>255</v>
      </c>
      <c r="F18" s="224"/>
    </row>
    <row r="19" spans="1:6">
      <c r="A19" s="226" t="s">
        <v>797</v>
      </c>
      <c r="B19" s="223">
        <v>148</v>
      </c>
      <c r="C19" s="82" t="s">
        <v>444</v>
      </c>
      <c r="D19" s="231">
        <f xml:space="preserve"> B19 * LOOKUP(C19, FuelName, FuelMass)</f>
        <v>471.93564527999996</v>
      </c>
      <c r="E19" s="231">
        <f xml:space="preserve"> D19 / LOOKUP(C19, FuelName, FuelVolume)</f>
        <v>0.53326061613559317</v>
      </c>
      <c r="F19" s="224"/>
    </row>
    <row r="20" spans="1:6">
      <c r="A20" s="226" t="s">
        <v>798</v>
      </c>
      <c r="B20" s="223">
        <v>0</v>
      </c>
      <c r="C20" s="82" t="s">
        <v>229</v>
      </c>
      <c r="D20" s="231">
        <f xml:space="preserve"> B20 * LOOKUP(C20, FuelName, FuelMass)</f>
        <v>0</v>
      </c>
      <c r="E20" s="231">
        <f xml:space="preserve"> D20 / LOOKUP(C20, FuelName, FuelVolume)</f>
        <v>0</v>
      </c>
      <c r="F20" s="224"/>
    </row>
    <row r="21" spans="1:6">
      <c r="A21" s="226" t="s">
        <v>799</v>
      </c>
      <c r="B21" s="223">
        <v>0</v>
      </c>
      <c r="C21" s="82" t="s">
        <v>229</v>
      </c>
      <c r="D21" s="231">
        <f xml:space="preserve"> B21 * LOOKUP(C21, FuelName, FuelMass)</f>
        <v>0</v>
      </c>
      <c r="E21" s="231">
        <f xml:space="preserve"> D21 / LOOKUP(C21, FuelName, FuelVolume)</f>
        <v>0</v>
      </c>
      <c r="F21" s="224"/>
    </row>
    <row r="22" spans="1:6">
      <c r="A22" s="226" t="s">
        <v>800</v>
      </c>
      <c r="B22" s="196">
        <f xml:space="preserve"> SUM(B19:B21)</f>
        <v>148</v>
      </c>
      <c r="C22" s="237" t="s">
        <v>230</v>
      </c>
      <c r="D22" s="233">
        <f xml:space="preserve"> SUM(D19:D21)</f>
        <v>471.93564527999996</v>
      </c>
      <c r="E22" s="231">
        <f xml:space="preserve"> SUM(E19:E21)</f>
        <v>0.53326061613559317</v>
      </c>
      <c r="F22" s="224"/>
    </row>
    <row r="23" spans="1:6">
      <c r="A23" s="224"/>
      <c r="B23" s="224"/>
      <c r="C23" s="224"/>
      <c r="D23" s="231"/>
      <c r="E23" s="224"/>
      <c r="F23" s="224"/>
    </row>
    <row r="24" spans="1:6" ht="15.75">
      <c r="A24" s="235" t="s">
        <v>801</v>
      </c>
      <c r="B24" s="229" t="s">
        <v>802</v>
      </c>
      <c r="C24" s="240" t="s">
        <v>431</v>
      </c>
      <c r="D24" s="231" t="s">
        <v>276</v>
      </c>
      <c r="E24" s="231" t="s">
        <v>255</v>
      </c>
      <c r="F24" s="224"/>
    </row>
    <row r="25" spans="1:6">
      <c r="A25" s="226" t="s">
        <v>803</v>
      </c>
      <c r="B25" s="244">
        <v>0</v>
      </c>
      <c r="C25" s="82" t="s">
        <v>440</v>
      </c>
      <c r="D25" s="231">
        <f xml:space="preserve"> B25 * LOOKUP(C25, EnergyBankName, EnergyBankWeight)</f>
        <v>0</v>
      </c>
      <c r="E25" s="231">
        <f xml:space="preserve"> B25 * LOOKUP(C25, EnergyBankName, EnergyBankVolume)</f>
        <v>0</v>
      </c>
      <c r="F25" s="224"/>
    </row>
    <row r="26" spans="1:6">
      <c r="A26" s="226" t="s">
        <v>804</v>
      </c>
      <c r="B26" s="244">
        <v>0</v>
      </c>
      <c r="C26" s="82" t="s">
        <v>440</v>
      </c>
      <c r="D26" s="231">
        <f xml:space="preserve"> B26 * LOOKUP(C26, EnergyBankName, EnergyBankWeight)</f>
        <v>0</v>
      </c>
      <c r="E26" s="231">
        <f xml:space="preserve"> B26 * LOOKUP(C26, EnergyBankName, EnergyBankVolume)</f>
        <v>0</v>
      </c>
      <c r="F26" s="224"/>
    </row>
    <row r="27" spans="1:6">
      <c r="A27" s="226" t="s">
        <v>805</v>
      </c>
      <c r="B27" s="244">
        <v>0</v>
      </c>
      <c r="C27" s="82" t="s">
        <v>437</v>
      </c>
      <c r="D27" s="231">
        <f xml:space="preserve"> B27 * LOOKUP(C27, EnergyBankName, EnergyBankWeight)</f>
        <v>0</v>
      </c>
      <c r="E27" s="231">
        <f xml:space="preserve"> B27 * LOOKUP(C27, EnergyBankName, EnergyBankVolume)</f>
        <v>0</v>
      </c>
      <c r="F27" s="224"/>
    </row>
    <row r="28" spans="1:6">
      <c r="A28" s="226"/>
      <c r="B28" s="96">
        <f xml:space="preserve"> SUM(B25:B27)</f>
        <v>0</v>
      </c>
      <c r="C28" s="237" t="s">
        <v>230</v>
      </c>
      <c r="D28" s="233">
        <f xml:space="preserve"> SUM(D25:D27)</f>
        <v>0</v>
      </c>
      <c r="E28" s="233">
        <f xml:space="preserve"> SUM(E25:E27)</f>
        <v>0</v>
      </c>
      <c r="F28" s="224"/>
    </row>
    <row r="29" spans="1:6">
      <c r="A29" s="224"/>
      <c r="B29" s="232"/>
      <c r="C29" s="224"/>
      <c r="D29" s="224"/>
      <c r="E29" s="224"/>
      <c r="F29" s="224"/>
    </row>
    <row r="30" spans="1:6" ht="15.75">
      <c r="A30" s="235" t="s">
        <v>806</v>
      </c>
      <c r="B30" s="224"/>
      <c r="C30" s="224"/>
      <c r="D30" s="224"/>
      <c r="E30" s="224"/>
      <c r="F30" s="224"/>
    </row>
    <row r="31" spans="1:6">
      <c r="A31" s="224"/>
      <c r="B31" s="230" t="s">
        <v>807</v>
      </c>
      <c r="C31" s="82" t="s">
        <v>1023</v>
      </c>
      <c r="D31" s="224"/>
      <c r="E31" s="240"/>
      <c r="F31" s="224"/>
    </row>
    <row r="32" spans="1:6">
      <c r="A32" s="224"/>
      <c r="B32" s="228" t="s">
        <v>831</v>
      </c>
      <c r="C32" s="207">
        <f xml:space="preserve"> LOOKUP(C31, TransmissionName, TransmissionWeight)</f>
        <v>0</v>
      </c>
      <c r="D32" s="224" t="s">
        <v>276</v>
      </c>
      <c r="E32" s="240"/>
      <c r="F32" s="224"/>
    </row>
    <row r="33" spans="1:8" ht="15.75">
      <c r="A33" s="235"/>
      <c r="B33" s="232" t="s">
        <v>808</v>
      </c>
      <c r="C33" s="237">
        <f xml:space="preserve"> G8 * LOOKUP(C31, TransmissionName, TransmissionMass)</f>
        <v>904.66346249999992</v>
      </c>
      <c r="D33" s="237" t="s">
        <v>276</v>
      </c>
      <c r="E33" s="237"/>
      <c r="F33" s="237"/>
    </row>
    <row r="34" spans="1:8" ht="15.75">
      <c r="A34" s="235"/>
      <c r="B34" s="230" t="s">
        <v>809</v>
      </c>
      <c r="C34" s="222">
        <v>905</v>
      </c>
      <c r="D34" s="239" t="s">
        <v>276</v>
      </c>
      <c r="E34" s="240"/>
      <c r="F34" s="224"/>
      <c r="G34" s="224"/>
      <c r="H34" s="224"/>
    </row>
    <row r="35" spans="1:8" ht="15.75">
      <c r="A35" s="235"/>
      <c r="B35" s="232" t="s">
        <v>810</v>
      </c>
      <c r="C35" s="237">
        <f xml:space="preserve"> C34 * 38.5 / 1000</f>
        <v>34.842500000000001</v>
      </c>
      <c r="D35" s="237" t="s">
        <v>840</v>
      </c>
      <c r="E35" s="237"/>
      <c r="F35" s="224"/>
      <c r="G35" s="224"/>
      <c r="H35" s="224"/>
    </row>
    <row r="36" spans="1:8" ht="15.75">
      <c r="A36" s="235"/>
      <c r="B36" s="232" t="s">
        <v>832</v>
      </c>
      <c r="C36" s="237">
        <f xml:space="preserve"> LOOKUP(C31, TransmissionName, TransmissionLimit)</f>
        <v>0</v>
      </c>
      <c r="D36" s="237" t="s">
        <v>840</v>
      </c>
      <c r="E36" s="237"/>
      <c r="F36" s="224"/>
      <c r="G36" s="224"/>
      <c r="H36" s="224"/>
    </row>
    <row r="37" spans="1:8">
      <c r="A37" s="224"/>
      <c r="B37" s="232" t="s">
        <v>811</v>
      </c>
      <c r="C37" s="237">
        <f xml:space="preserve"> C34 / 1237.142</f>
        <v>0.73152475625271796</v>
      </c>
      <c r="D37" s="237" t="s">
        <v>255</v>
      </c>
      <c r="E37" s="224"/>
      <c r="F37" s="224"/>
      <c r="G37" s="224"/>
      <c r="H37" s="224"/>
    </row>
    <row r="39" spans="1:8" ht="15.75">
      <c r="A39" s="227" t="s">
        <v>812</v>
      </c>
      <c r="B39" s="224"/>
      <c r="C39" s="237" t="s">
        <v>813</v>
      </c>
      <c r="D39" s="224"/>
      <c r="E39" s="224"/>
      <c r="F39" s="224"/>
      <c r="G39" s="224"/>
      <c r="H39" s="224"/>
    </row>
    <row r="40" spans="1:8" ht="15" customHeight="1">
      <c r="A40" s="236" t="s">
        <v>833</v>
      </c>
      <c r="B40" s="234" t="b">
        <v>0</v>
      </c>
      <c r="C40" s="224"/>
      <c r="D40" s="224"/>
      <c r="E40" s="224"/>
      <c r="F40" s="224"/>
      <c r="G40" s="224"/>
      <c r="H40" s="224"/>
    </row>
    <row r="41" spans="1:8">
      <c r="A41" s="224"/>
      <c r="B41" s="229" t="s">
        <v>814</v>
      </c>
      <c r="C41" s="240" t="s">
        <v>815</v>
      </c>
      <c r="D41" s="231" t="s">
        <v>516</v>
      </c>
      <c r="E41" s="231" t="s">
        <v>816</v>
      </c>
      <c r="F41" s="231" t="s">
        <v>817</v>
      </c>
      <c r="G41" s="231" t="s">
        <v>818</v>
      </c>
      <c r="H41" s="224"/>
    </row>
    <row r="42" spans="1:8">
      <c r="A42" s="230" t="s">
        <v>819</v>
      </c>
      <c r="B42" s="56" t="s">
        <v>246</v>
      </c>
      <c r="C42" s="82">
        <v>0</v>
      </c>
      <c r="D42" s="231">
        <f xml:space="preserve"> (C42 / 10) * 'Hull Design'!C34 * LOOKUP(B42, ArmorNames, ArmorDensity) / 1000</f>
        <v>0</v>
      </c>
      <c r="E42" s="231">
        <f xml:space="preserve"> 'Hull Design'!C30</f>
        <v>47</v>
      </c>
      <c r="F42" s="231">
        <f xml:space="preserve"> (C42 / COS(RADIANS(E42))) * LOOKUP(B42, ArmorNames, ArmorKE)</f>
        <v>0</v>
      </c>
      <c r="G42" s="231">
        <f xml:space="preserve"> (C42 / COS(RADIANS(E42))) * LOOKUP(B42, ArmorNames, ArmorHEAT)</f>
        <v>0</v>
      </c>
      <c r="H42" s="224"/>
    </row>
    <row r="43" spans="1:8">
      <c r="A43" s="230" t="s">
        <v>820</v>
      </c>
      <c r="B43" s="56" t="s">
        <v>246</v>
      </c>
      <c r="C43" s="82">
        <v>0</v>
      </c>
      <c r="D43" s="231">
        <f xml:space="preserve"> (C43 / 10) * 'Hull Design'!C59 * LOOKUP(B43, ArmorNames, ArmorDensity) / 1000</f>
        <v>0</v>
      </c>
      <c r="E43" s="231">
        <f xml:space="preserve"> 'Hull Design'!C55</f>
        <v>56</v>
      </c>
      <c r="F43" s="231">
        <f xml:space="preserve"> (C43 / COS(RADIANS(E43))) * LOOKUP(B43, ArmorNames, ArmorKE)</f>
        <v>0</v>
      </c>
      <c r="G43" s="231">
        <f xml:space="preserve"> (C43 / COS(RADIANS(E43))) * LOOKUP(B43, ArmorNames, ArmorHEAT)</f>
        <v>0</v>
      </c>
      <c r="H43" s="224"/>
    </row>
    <row r="44" spans="1:8">
      <c r="A44" s="224"/>
      <c r="B44" s="230" t="s">
        <v>821</v>
      </c>
      <c r="C44" s="246">
        <v>0</v>
      </c>
      <c r="D44" s="239" t="s">
        <v>191</v>
      </c>
      <c r="E44" s="233">
        <f xml:space="preserve"> B8 * C44</f>
        <v>0</v>
      </c>
      <c r="F44" s="237" t="s">
        <v>822</v>
      </c>
      <c r="G44" s="233">
        <f xml:space="preserve"> E44 * 0.73549875</f>
        <v>0</v>
      </c>
      <c r="H44" s="224" t="s">
        <v>823</v>
      </c>
    </row>
    <row r="45" spans="1:8">
      <c r="A45" s="224"/>
      <c r="B45" s="230" t="s">
        <v>807</v>
      </c>
      <c r="C45" s="82" t="s">
        <v>362</v>
      </c>
      <c r="D45" s="224"/>
      <c r="E45" s="224"/>
      <c r="F45" s="224"/>
      <c r="G45" s="224"/>
      <c r="H45" s="224"/>
    </row>
    <row r="46" spans="1:8">
      <c r="A46" s="224"/>
      <c r="B46" s="232" t="s">
        <v>824</v>
      </c>
      <c r="C46" s="233">
        <f xml:space="preserve"> G44 * LOOKUP(C45, TransmissionName, TransmissionMass)</f>
        <v>0</v>
      </c>
      <c r="D46" s="237" t="s">
        <v>276</v>
      </c>
      <c r="E46" s="224"/>
      <c r="F46" s="224"/>
      <c r="G46" s="224"/>
      <c r="H46" s="224"/>
    </row>
    <row r="47" spans="1:8">
      <c r="A47" s="224"/>
      <c r="B47" s="232" t="s">
        <v>825</v>
      </c>
      <c r="C47" s="231">
        <f xml:space="preserve"> D42 + D43</f>
        <v>0</v>
      </c>
      <c r="D47" s="241" t="s">
        <v>276</v>
      </c>
      <c r="E47" s="224"/>
      <c r="F47" s="224"/>
      <c r="G47" s="224"/>
      <c r="H47" s="224"/>
    </row>
    <row r="48" spans="1:8">
      <c r="A48" s="224"/>
      <c r="B48" s="232" t="s">
        <v>826</v>
      </c>
      <c r="C48" s="233">
        <f xml:space="preserve"> (C46 + C47) / 1000</f>
        <v>0</v>
      </c>
      <c r="D48" s="237" t="s">
        <v>840</v>
      </c>
      <c r="E48" s="224"/>
      <c r="F48" s="224"/>
      <c r="G48" s="224"/>
      <c r="H48" s="224"/>
    </row>
    <row r="49" spans="1:8">
      <c r="A49" s="224"/>
      <c r="B49" s="230"/>
      <c r="C49" s="224"/>
      <c r="D49" s="242"/>
      <c r="E49" s="224"/>
      <c r="F49" s="224"/>
      <c r="G49" s="224"/>
      <c r="H49" s="224"/>
    </row>
    <row r="50" spans="1:8">
      <c r="A50" s="224"/>
      <c r="B50" s="228" t="s">
        <v>827</v>
      </c>
      <c r="C50" s="238">
        <f xml:space="preserve"> HullLength</f>
        <v>6.3</v>
      </c>
      <c r="D50" s="238" t="s">
        <v>297</v>
      </c>
      <c r="E50" s="224"/>
      <c r="F50" s="224"/>
      <c r="G50" s="224"/>
      <c r="H50" s="224"/>
    </row>
    <row r="51" spans="1:8">
      <c r="B51" s="228" t="s">
        <v>828</v>
      </c>
      <c r="C51" s="238">
        <f xml:space="preserve"> 'Print Sheet'!B5</f>
        <v>2.6204000000000001</v>
      </c>
      <c r="D51" s="238" t="s">
        <v>297</v>
      </c>
      <c r="E51" s="224"/>
      <c r="F51" s="224"/>
    </row>
    <row r="52" spans="1:8">
      <c r="B52" s="232" t="s">
        <v>829</v>
      </c>
      <c r="C52" s="237">
        <f xml:space="preserve"> C50 * C51 * 0.7</f>
        <v>11.555963999999999</v>
      </c>
      <c r="D52" s="237" t="s">
        <v>218</v>
      </c>
      <c r="E52" s="224"/>
      <c r="F52" s="224"/>
    </row>
    <row r="55" spans="1:8">
      <c r="B55" s="224"/>
      <c r="C55" s="224"/>
      <c r="D55" s="224"/>
      <c r="E55" s="233"/>
      <c r="F55" s="233"/>
    </row>
    <row r="58" spans="1:8">
      <c r="B58" s="230"/>
      <c r="C58" s="224"/>
      <c r="D58" s="239"/>
      <c r="E58" s="224"/>
      <c r="F58" s="224"/>
    </row>
  </sheetData>
  <dataValidations count="5">
    <dataValidation type="list" allowBlank="1" showInputMessage="1" showErrorMessage="1" sqref="C8 C14">
      <formula1 xml:space="preserve"> EngineName</formula1>
    </dataValidation>
    <dataValidation type="list" allowBlank="1" showInputMessage="1" showErrorMessage="1" sqref="C25:C27">
      <formula1 xml:space="preserve"> EnergyBankName</formula1>
    </dataValidation>
    <dataValidation type="list" allowBlank="1" showInputMessage="1" showErrorMessage="1" sqref="C31 C45">
      <formula1 xml:space="preserve"> TransmissionName</formula1>
    </dataValidation>
    <dataValidation type="list" allowBlank="1" showInputMessage="1" showErrorMessage="1" sqref="B42:B43">
      <formula1 xml:space="preserve"> ArmorNames</formula1>
    </dataValidation>
    <dataValidation type="list" allowBlank="1" showInputMessage="1" showErrorMessage="1" sqref="C19:C21">
      <formula1 xml:space="preserve"> FuelName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D17" sqref="D17"/>
    </sheetView>
  </sheetViews>
  <sheetFormatPr defaultRowHeight="15"/>
  <cols>
    <col min="1" max="1" width="48.5703125" customWidth="1"/>
    <col min="2" max="2" width="40.7109375" customWidth="1"/>
    <col min="3" max="3" width="11.28515625" customWidth="1"/>
  </cols>
  <sheetData>
    <row r="1" spans="1:6" ht="25.5">
      <c r="A1" s="99" t="s">
        <v>547</v>
      </c>
      <c r="B1" s="83"/>
      <c r="C1" s="83"/>
      <c r="D1" s="83"/>
      <c r="E1" s="83"/>
      <c r="F1" s="83"/>
    </row>
    <row r="2" spans="1:6">
      <c r="A2" s="94" t="s">
        <v>548</v>
      </c>
      <c r="B2" s="82">
        <v>33</v>
      </c>
      <c r="C2" s="108" t="s">
        <v>840</v>
      </c>
      <c r="D2" s="101"/>
      <c r="E2" s="83"/>
      <c r="F2" s="83"/>
    </row>
    <row r="3" spans="1:6">
      <c r="A3" s="89" t="s">
        <v>550</v>
      </c>
      <c r="B3" s="82" t="s">
        <v>1030</v>
      </c>
      <c r="C3" s="83"/>
      <c r="D3" s="101"/>
      <c r="E3" s="83"/>
      <c r="F3" s="83"/>
    </row>
    <row r="4" spans="1:6">
      <c r="A4" s="89" t="s">
        <v>129</v>
      </c>
      <c r="B4" s="98">
        <f xml:space="preserve"> (B2 * 1000) / LOOKUP(B3, SuspensionNames, SuspensionWeight)</f>
        <v>2129.0322580645161</v>
      </c>
      <c r="C4" s="101" t="s">
        <v>276</v>
      </c>
      <c r="D4" s="83"/>
      <c r="E4" s="83"/>
      <c r="F4" s="83"/>
    </row>
    <row r="5" spans="1:6">
      <c r="A5" s="89" t="s">
        <v>549</v>
      </c>
      <c r="B5" s="98">
        <f ca="1">LOOKUP(B3, SuspensionNames, SuspensionCapacity)</f>
        <v>2885.8330000000001</v>
      </c>
      <c r="C5" s="101" t="s">
        <v>276</v>
      </c>
      <c r="D5" s="83"/>
      <c r="E5" s="83"/>
      <c r="F5" s="83"/>
    </row>
    <row r="6" spans="1:6">
      <c r="A6" s="89" t="s">
        <v>574</v>
      </c>
      <c r="B6" s="98">
        <f ca="1">B2 * 1000 / B5</f>
        <v>11.435173137184307</v>
      </c>
      <c r="C6" s="101" t="s">
        <v>555</v>
      </c>
      <c r="D6" s="83"/>
      <c r="E6" s="83"/>
      <c r="F6" s="83"/>
    </row>
    <row r="7" spans="1:6">
      <c r="A7" s="89"/>
      <c r="B7" s="83"/>
      <c r="C7" s="83"/>
      <c r="D7" s="83"/>
      <c r="E7" s="83"/>
      <c r="F7" s="83"/>
    </row>
    <row r="8" spans="1:6" ht="15.75">
      <c r="A8" s="100" t="s">
        <v>551</v>
      </c>
      <c r="B8" s="83"/>
      <c r="C8" s="83"/>
      <c r="D8" s="83"/>
      <c r="E8" s="83"/>
      <c r="F8" s="83"/>
    </row>
    <row r="9" spans="1:6">
      <c r="A9" s="94" t="s">
        <v>552</v>
      </c>
      <c r="B9" s="82" t="s">
        <v>355</v>
      </c>
      <c r="C9" s="83"/>
      <c r="D9" s="101"/>
      <c r="E9" s="83"/>
      <c r="F9" s="83"/>
    </row>
    <row r="10" spans="1:6">
      <c r="A10" s="94" t="s">
        <v>553</v>
      </c>
      <c r="B10" s="82">
        <v>30</v>
      </c>
      <c r="C10" s="106" t="s">
        <v>212</v>
      </c>
      <c r="D10" s="221"/>
      <c r="E10" s="83"/>
      <c r="F10" s="83"/>
    </row>
    <row r="11" spans="1:6">
      <c r="A11" s="94" t="s">
        <v>554</v>
      </c>
      <c r="B11" s="82">
        <v>1</v>
      </c>
      <c r="C11" s="105"/>
      <c r="D11" s="101"/>
      <c r="E11" s="83"/>
      <c r="F11" s="83"/>
    </row>
    <row r="12" spans="1:6">
      <c r="A12" s="94" t="s">
        <v>575</v>
      </c>
      <c r="B12" s="82">
        <v>12</v>
      </c>
      <c r="C12" s="105" t="s">
        <v>555</v>
      </c>
      <c r="D12" s="101"/>
      <c r="E12" s="83"/>
      <c r="F12" s="83"/>
    </row>
    <row r="13" spans="1:6">
      <c r="A13" s="89" t="s">
        <v>576</v>
      </c>
      <c r="B13" s="98">
        <f xml:space="preserve"> ((B27 / (B10*2) * 0.62) * 2 * B11)</f>
        <v>12.369</v>
      </c>
      <c r="C13" s="109" t="s">
        <v>555</v>
      </c>
      <c r="D13" s="83"/>
      <c r="E13" s="83"/>
      <c r="F13" s="83"/>
    </row>
    <row r="14" spans="1:6">
      <c r="A14" s="89" t="s">
        <v>556</v>
      </c>
      <c r="B14" s="98">
        <f xml:space="preserve"> TrackWidth/20</f>
        <v>27</v>
      </c>
      <c r="C14" s="101" t="s">
        <v>212</v>
      </c>
      <c r="D14" s="83"/>
      <c r="E14" s="83"/>
      <c r="F14" s="83"/>
    </row>
    <row r="15" spans="1:6">
      <c r="A15" s="89" t="s">
        <v>557</v>
      </c>
      <c r="B15" s="98">
        <f xml:space="preserve"> (B10/2)^2 * B14 * PI()</f>
        <v>19085.175370557994</v>
      </c>
      <c r="C15" s="107" t="s">
        <v>558</v>
      </c>
      <c r="D15" s="83"/>
      <c r="E15" s="83"/>
      <c r="F15" s="83"/>
    </row>
    <row r="16" spans="1:6">
      <c r="A16" s="89" t="s">
        <v>559</v>
      </c>
      <c r="B16" s="95">
        <f xml:space="preserve"> B15 * LOOKUP(B9, RoadWheelMaterials, RoadWheelDensity) / 1000</f>
        <v>50.766566485684272</v>
      </c>
      <c r="C16" s="101" t="s">
        <v>276</v>
      </c>
      <c r="D16" s="83"/>
      <c r="E16" s="83"/>
      <c r="F16" s="83"/>
    </row>
    <row r="17" spans="1:6">
      <c r="A17" s="89" t="s">
        <v>560</v>
      </c>
      <c r="B17" s="98">
        <f xml:space="preserve"> B16 * B12 * LOOKUP(B20, TrackTypeName, TrackWeightModifier)</f>
        <v>609.19879782821124</v>
      </c>
      <c r="C17" s="101" t="s">
        <v>276</v>
      </c>
      <c r="D17" s="83"/>
      <c r="E17" s="83"/>
      <c r="F17" s="83"/>
    </row>
    <row r="18" spans="1:6">
      <c r="A18" s="83"/>
      <c r="B18" s="83"/>
      <c r="C18" s="83"/>
      <c r="D18" s="83"/>
      <c r="E18" s="83"/>
      <c r="F18" s="83"/>
    </row>
    <row r="19" spans="1:6" ht="15.75">
      <c r="A19" s="100" t="s">
        <v>561</v>
      </c>
      <c r="B19" s="83"/>
      <c r="C19" s="83"/>
      <c r="D19" s="83"/>
      <c r="E19" s="83"/>
      <c r="F19" s="83"/>
    </row>
    <row r="20" spans="1:6">
      <c r="A20" s="212" t="s">
        <v>481</v>
      </c>
      <c r="B20" s="152" t="s">
        <v>779</v>
      </c>
      <c r="C20" s="210"/>
      <c r="D20" s="210"/>
      <c r="E20" s="210"/>
      <c r="F20" s="210"/>
    </row>
    <row r="21" spans="1:6">
      <c r="A21" s="94" t="s">
        <v>562</v>
      </c>
      <c r="B21" s="82">
        <v>10.6</v>
      </c>
      <c r="C21" s="106" t="s">
        <v>563</v>
      </c>
      <c r="D21" s="101">
        <f>(B21*0.45359237)*0.155</f>
        <v>0.74525226390999999</v>
      </c>
      <c r="E21" s="83" t="s">
        <v>564</v>
      </c>
      <c r="F21" s="83"/>
    </row>
    <row r="22" spans="1:6">
      <c r="A22" s="89" t="s">
        <v>565</v>
      </c>
      <c r="B22" s="98">
        <f xml:space="preserve"> 'Print Sheet'!B37 * 1000 / D21</f>
        <v>46468.296748158151</v>
      </c>
      <c r="C22" s="101" t="s">
        <v>216</v>
      </c>
      <c r="D22" s="83"/>
      <c r="E22" s="83"/>
      <c r="F22" s="83"/>
    </row>
    <row r="23" spans="1:6">
      <c r="A23" s="94" t="s">
        <v>566</v>
      </c>
      <c r="B23" s="82">
        <v>2</v>
      </c>
      <c r="C23" s="83"/>
      <c r="D23" s="83"/>
      <c r="E23" s="83"/>
      <c r="F23" s="83"/>
    </row>
    <row r="24" spans="1:6">
      <c r="A24" s="94" t="s">
        <v>567</v>
      </c>
      <c r="B24" s="82">
        <v>540</v>
      </c>
      <c r="C24" s="106" t="s">
        <v>568</v>
      </c>
      <c r="D24" s="83"/>
      <c r="E24" s="83"/>
      <c r="F24" s="83"/>
    </row>
    <row r="25" spans="1:6">
      <c r="A25" s="94" t="s">
        <v>569</v>
      </c>
      <c r="B25" s="82" t="s">
        <v>486</v>
      </c>
      <c r="C25" s="106"/>
      <c r="D25" s="83"/>
      <c r="E25" s="83"/>
      <c r="F25" s="83"/>
    </row>
    <row r="26" spans="1:6">
      <c r="A26" s="230" t="s">
        <v>1034</v>
      </c>
      <c r="B26" s="223">
        <v>95</v>
      </c>
      <c r="C26" s="239" t="s">
        <v>1035</v>
      </c>
      <c r="D26" s="224"/>
      <c r="E26" s="224"/>
      <c r="F26" s="224"/>
    </row>
    <row r="27" spans="1:6">
      <c r="A27" s="89" t="s">
        <v>570</v>
      </c>
      <c r="B27" s="95">
        <f xml:space="preserve"> HullLength * B26</f>
        <v>598.5</v>
      </c>
      <c r="C27" s="105" t="s">
        <v>212</v>
      </c>
      <c r="D27" s="83"/>
      <c r="E27" s="83"/>
      <c r="F27" s="83"/>
    </row>
    <row r="28" spans="1:6">
      <c r="A28" s="89" t="s">
        <v>571</v>
      </c>
      <c r="B28" s="98">
        <f>((B24 / 10) * ( (((B12 / B11) - 2) * B10 * 1.24) + (2 * B10 * 1.12) )) * B11 * TrackNumber</f>
        <v>47433.599999999999</v>
      </c>
      <c r="C28" s="101" t="s">
        <v>216</v>
      </c>
      <c r="D28" s="83"/>
      <c r="E28" s="83"/>
      <c r="F28" s="83"/>
    </row>
    <row r="29" spans="1:6">
      <c r="A29" s="89" t="s">
        <v>572</v>
      </c>
      <c r="B29" s="95">
        <f xml:space="preserve"> ((B27 / 100 *2 + (B10/100) * 2 * PI()) * B24/1000) *B23</f>
        <v>14.963352039526185</v>
      </c>
      <c r="C29" s="101" t="s">
        <v>218</v>
      </c>
      <c r="D29" s="83"/>
      <c r="E29" s="83"/>
      <c r="F29" s="83"/>
    </row>
    <row r="30" spans="1:6">
      <c r="A30" s="89" t="s">
        <v>573</v>
      </c>
      <c r="B30" s="98">
        <f>(B29 / LOOKUP(B25, TrackName, TrackModifier)) * LOOKUP(B25, TrackName, TrackWeight) * LOOKUP(B20, TrackTypeName, TrackWeightModifier)</f>
        <v>3338.4025945027106</v>
      </c>
      <c r="C30" s="101" t="s">
        <v>276</v>
      </c>
      <c r="D30" s="83"/>
      <c r="E30" s="83"/>
      <c r="F30" s="83"/>
    </row>
  </sheetData>
  <dataValidations count="4">
    <dataValidation type="list" allowBlank="1" showInputMessage="1" showErrorMessage="1" sqref="B3">
      <formula1>SuspensionNames</formula1>
    </dataValidation>
    <dataValidation type="list" allowBlank="1" showInputMessage="1" showErrorMessage="1" sqref="B9">
      <formula1>RoadWheelMaterials</formula1>
    </dataValidation>
    <dataValidation type="list" allowBlank="1" showInputMessage="1" showErrorMessage="1" sqref="B25">
      <formula1>TrackName</formula1>
    </dataValidation>
    <dataValidation type="list" allowBlank="1" showInputMessage="1" showErrorMessage="1" sqref="B20">
      <formula1 xml:space="preserve"> TrackTypeName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74</vt:i4>
      </vt:variant>
    </vt:vector>
  </HeadingPairs>
  <TitlesOfParts>
    <vt:vector size="85" baseType="lpstr">
      <vt:lpstr>Tracked Report</vt:lpstr>
      <vt:lpstr>Print Sheet</vt:lpstr>
      <vt:lpstr>Hull Design</vt:lpstr>
      <vt:lpstr>Turret Design</vt:lpstr>
      <vt:lpstr>Small Guns</vt:lpstr>
      <vt:lpstr>Big Gun</vt:lpstr>
      <vt:lpstr>Misc</vt:lpstr>
      <vt:lpstr>Engine</vt:lpstr>
      <vt:lpstr>Drivetrain</vt:lpstr>
      <vt:lpstr>Lookup</vt:lpstr>
      <vt:lpstr>Armor Trend</vt:lpstr>
      <vt:lpstr>ArmorDensity</vt:lpstr>
      <vt:lpstr>ArmorHEAT</vt:lpstr>
      <vt:lpstr>ArmorKE</vt:lpstr>
      <vt:lpstr>ArmorModifier</vt:lpstr>
      <vt:lpstr>ArmorNames</vt:lpstr>
      <vt:lpstr>AutoAccel</vt:lpstr>
      <vt:lpstr>AutoloaderCapacity</vt:lpstr>
      <vt:lpstr>AutoloaderFire</vt:lpstr>
      <vt:lpstr>AutoloaderName</vt:lpstr>
      <vt:lpstr>AutoloaderVolume</vt:lpstr>
      <vt:lpstr>AutoloaderWeight</vt:lpstr>
      <vt:lpstr>BatteryModifier</vt:lpstr>
      <vt:lpstr>BatteryName</vt:lpstr>
      <vt:lpstr>BatteryRecoil</vt:lpstr>
      <vt:lpstr>BreechAuto</vt:lpstr>
      <vt:lpstr>BreechCaliber</vt:lpstr>
      <vt:lpstr>BreechSingle</vt:lpstr>
      <vt:lpstr>BreechVolumeAuto</vt:lpstr>
      <vt:lpstr>BreechVolumeSingle</vt:lpstr>
      <vt:lpstr>CartridgeLength</vt:lpstr>
      <vt:lpstr>CartridgeMaterialDensity</vt:lpstr>
      <vt:lpstr>CartridgeMaterialName</vt:lpstr>
      <vt:lpstr>CartridgeName</vt:lpstr>
      <vt:lpstr>CartridgeWidth</vt:lpstr>
      <vt:lpstr>ChamberModifier</vt:lpstr>
      <vt:lpstr>ChamberName</vt:lpstr>
      <vt:lpstr>ChamberVelocity</vt:lpstr>
      <vt:lpstr>EnergyBankName</vt:lpstr>
      <vt:lpstr>EnergyBankVolume</vt:lpstr>
      <vt:lpstr>EnergyBankWeight</vt:lpstr>
      <vt:lpstr>EngineCylinderNumber</vt:lpstr>
      <vt:lpstr>EngineFuel</vt:lpstr>
      <vt:lpstr>EngineGrossOutput</vt:lpstr>
      <vt:lpstr>EngineName</vt:lpstr>
      <vt:lpstr>EngineVolume</vt:lpstr>
      <vt:lpstr>EngineWeight</vt:lpstr>
      <vt:lpstr>FuelMass</vt:lpstr>
      <vt:lpstr>FuelName</vt:lpstr>
      <vt:lpstr>FuelVolume</vt:lpstr>
      <vt:lpstr>GroundClearance</vt:lpstr>
      <vt:lpstr>HEATPenetration</vt:lpstr>
      <vt:lpstr>HEATPenetrationName</vt:lpstr>
      <vt:lpstr>HullHeight</vt:lpstr>
      <vt:lpstr>HullLength</vt:lpstr>
      <vt:lpstr>HullWidth</vt:lpstr>
      <vt:lpstr>KEPenetration</vt:lpstr>
      <vt:lpstr>KEPenetrationName</vt:lpstr>
      <vt:lpstr>PropellantEnergyDensity</vt:lpstr>
      <vt:lpstr>PropellantEnergyVolume</vt:lpstr>
      <vt:lpstr>PropellantName</vt:lpstr>
      <vt:lpstr>PropellantSpeed</vt:lpstr>
      <vt:lpstr>RoadWheelDensity</vt:lpstr>
      <vt:lpstr>RoadWheelMaterials</vt:lpstr>
      <vt:lpstr>SuperalloyName</vt:lpstr>
      <vt:lpstr>SuperalloyRatio</vt:lpstr>
      <vt:lpstr>SuspensionCapacity</vt:lpstr>
      <vt:lpstr>SuspensionNames</vt:lpstr>
      <vt:lpstr>SuspensionWeight</vt:lpstr>
      <vt:lpstr>TrackModifier</vt:lpstr>
      <vt:lpstr>TrackName</vt:lpstr>
      <vt:lpstr>TrackNumber</vt:lpstr>
      <vt:lpstr>TrackTypeName</vt:lpstr>
      <vt:lpstr>TrackWeight</vt:lpstr>
      <vt:lpstr>TrackWeightModifier</vt:lpstr>
      <vt:lpstr>TrackWidth</vt:lpstr>
      <vt:lpstr>TransmissionLimit</vt:lpstr>
      <vt:lpstr>TransmissionMass</vt:lpstr>
      <vt:lpstr>TransmissionName</vt:lpstr>
      <vt:lpstr>TransmissionWeight</vt:lpstr>
      <vt:lpstr>TurretBasketModifier</vt:lpstr>
      <vt:lpstr>TurretHeight</vt:lpstr>
      <vt:lpstr>TurretSpace</vt:lpstr>
      <vt:lpstr>TurretType</vt:lpstr>
      <vt:lpstr>TurretWeight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Tank Designer</dc:title>
  <dc:creator>ky.staedler@gmail.com</dc:creator>
  <cp:lastModifiedBy>NYCDOE Administration</cp:lastModifiedBy>
  <dcterms:created xsi:type="dcterms:W3CDTF">2012-02-22T08:01:59Z</dcterms:created>
  <dcterms:modified xsi:type="dcterms:W3CDTF">2012-03-19T14:25:09Z</dcterms:modified>
</cp:coreProperties>
</file>